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SPREADSHEETS\O_G WELLS\OG_Wells_and_GIS_Map_Stuff\WEBSITE\"/>
    </mc:Choice>
  </mc:AlternateContent>
  <xr:revisionPtr revIDLastSave="0" documentId="13_ncr:1_{F1F0CBC8-CD4C-4D56-AC10-56B72BCE3441}" xr6:coauthVersionLast="47" xr6:coauthVersionMax="47" xr10:uidLastSave="{00000000-0000-0000-0000-000000000000}"/>
  <bookViews>
    <workbookView xWindow="-28920" yWindow="-120" windowWidth="29040" windowHeight="15720" tabRatio="596" activeTab="2" xr2:uid="{00000000-000D-0000-FFFF-FFFF00000000}"/>
  </bookViews>
  <sheets>
    <sheet name="Facility Information" sheetId="1" r:id="rId1"/>
    <sheet name="WELLS" sheetId="2" r:id="rId2"/>
    <sheet name="TOTALS" sheetId="3" r:id="rId3"/>
    <sheet name="LOG ABBREVIATION CHEAT SHEET_x0009_" sheetId="4" r:id="rId4"/>
    <sheet name="LEGEND" sheetId="5" r:id="rId5"/>
  </sheets>
  <externalReferences>
    <externalReference r:id="rId6"/>
  </externalReferences>
  <definedNames>
    <definedName name="_xlnm._FilterDatabase" localSheetId="1" hidden="1">WELLS!$A$1:$AX$1488</definedName>
    <definedName name="API_NO">WELLS!$AU$1:$AU$1455</definedName>
    <definedName name="BHL">WELLS!$W$1:$W$1455</definedName>
    <definedName name="BHT_DEG_F">WELLS!$AT$1:$AT$1455</definedName>
    <definedName name="C.STATUS">WELLS!$J$1:$J$1455</definedName>
    <definedName name="COMMENTS">WELLS!$AX$1:$AX$1455</definedName>
    <definedName name="COMPANY">WELLS!$H$1:$H$1455</definedName>
    <definedName name="COMPLETION">WELLS!#REF!</definedName>
    <definedName name="COND_CSG">WELLS!$AF$1:$AF$1455</definedName>
    <definedName name="CORE_ANALY">WELLS!$AM$1:$AM$1455</definedName>
    <definedName name="CORES">WELLS!$AL$1:$AL$1455</definedName>
    <definedName name="COUNTY">WELLS!$F$1:$F$1455</definedName>
    <definedName name="_xlnm.Database">WELLS!$A$1:$AX$1381</definedName>
    <definedName name="DERRICK_FL">WELLS!$X$1:$X$1455</definedName>
    <definedName name="DR_STM_TST">WELLS!$AN$1:$AN$1455</definedName>
    <definedName name="FEDLANDS">WELLS!$P$1:$P$1455</definedName>
    <definedName name="FOLLOW_UP" localSheetId="4">[1]WELLS!#REF!</definedName>
    <definedName name="FOLLOW_UP">WELLS!#REF!</definedName>
    <definedName name="GRND_ELEV">WELLS!$Y$1:$Y$1455</definedName>
    <definedName name="INT_CSG">WELLS!$AH$1:$AH$1455</definedName>
    <definedName name="ISSUE_DATE" localSheetId="4">[1]WELLS!#REF!</definedName>
    <definedName name="ISSUE_DATE">WELLS!#REF!</definedName>
    <definedName name="LATITUDE">WELLS!$R$1:$R$1455</definedName>
    <definedName name="LOCALE">WELLS!$O$1:$O$1455</definedName>
    <definedName name="LONGITUDE">WELLS!$S$1:$S$1455</definedName>
    <definedName name="OIL_SHOW">WELLS!$L$1:$L$1455</definedName>
    <definedName name="OILFIELD">WELLS!$G$1:$G$1455</definedName>
    <definedName name="Original_SHL_LAT">WELLS!#REF!</definedName>
    <definedName name="Original_SHL_LONG">WELLS!#REF!</definedName>
    <definedName name="PERFORATIONS">WELLS!$AR$1:$AR$1455</definedName>
    <definedName name="PERMIT">WELLS!$A$1:$A$1455</definedName>
    <definedName name="PERMITNO">WELLS!$B$1:$B$1455</definedName>
    <definedName name="PLUGDATE">WELLS!#REF!</definedName>
    <definedName name="PLUGS">WELLS!$AS$1:$AS$1455</definedName>
    <definedName name="_xlnm.Print_Titles" localSheetId="1">WELLS!$1:$1</definedName>
    <definedName name="PROD_CSG">WELLS!$AI$1:$AI$1455</definedName>
    <definedName name="QSECTR">WELLS!#REF!</definedName>
    <definedName name="SAMPLES">WELLS!$AK$1:$AK$1455</definedName>
    <definedName name="SCAN">WELLS!$M$1:$M$1455</definedName>
    <definedName name="SHL">WELLS!$V$1:$V$1455</definedName>
    <definedName name="SHL_LAT_DEG">WELLS!#REF!</definedName>
    <definedName name="SHL_LAT_MIN">WELLS!#REF!</definedName>
    <definedName name="SHL_LAT_SEC">WELLS!#REF!</definedName>
    <definedName name="SHL_LONG_DEG">WELLS!#REF!</definedName>
    <definedName name="SHL_LONG_MIN">WELLS!#REF!</definedName>
    <definedName name="SHL_LONG_SEC">WELLS!#REF!</definedName>
    <definedName name="SPUD_DATE">WELLS!$AA$1:$AA$1455</definedName>
    <definedName name="STATUS">WELLS!$K$1:$K$1455</definedName>
    <definedName name="SURF_CSG">WELLS!$AG$1:$AG$1455</definedName>
    <definedName name="TEST_GAS">WELLS!$AP$1:$AP$1455</definedName>
    <definedName name="TEST_OIL">WELLS!$AO$1:$AO$1455</definedName>
    <definedName name="TEST_WATER">WELLS!$AQ$1:$AQ$1455</definedName>
    <definedName name="TOTALDEPTH">WELLS!$AD$1:$AD$1455</definedName>
    <definedName name="TUBING">WELLS!$AJ$1:$AJ$1455</definedName>
    <definedName name="WELLLOGS">WELLS!$N$1:$N$1455</definedName>
    <definedName name="WELLNAME">WELLS!$I$1:$I$1455</definedName>
    <definedName name="WNUMBER">WELLS!$AV$1:$AV$1455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3" i="3"/>
  <c r="J2" i="3"/>
  <c r="D2" i="2"/>
  <c r="E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E521" i="2"/>
  <c r="D522" i="2"/>
  <c r="E522" i="2"/>
  <c r="D523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D654" i="2"/>
  <c r="E654" i="2"/>
  <c r="D655" i="2"/>
  <c r="E655" i="2"/>
  <c r="D656" i="2"/>
  <c r="E656" i="2"/>
  <c r="D657" i="2"/>
  <c r="E657" i="2"/>
  <c r="D658" i="2"/>
  <c r="E658" i="2"/>
  <c r="D659" i="2"/>
  <c r="E659" i="2"/>
  <c r="D660" i="2"/>
  <c r="E660" i="2"/>
  <c r="D661" i="2"/>
  <c r="E661" i="2"/>
  <c r="D662" i="2"/>
  <c r="E662" i="2"/>
  <c r="D663" i="2"/>
  <c r="E663" i="2"/>
  <c r="D664" i="2"/>
  <c r="E664" i="2"/>
  <c r="D665" i="2"/>
  <c r="E665" i="2"/>
  <c r="D666" i="2"/>
  <c r="E666" i="2"/>
  <c r="D667" i="2"/>
  <c r="E667" i="2"/>
  <c r="D668" i="2"/>
  <c r="E668" i="2"/>
  <c r="D669" i="2"/>
  <c r="E669" i="2"/>
  <c r="D670" i="2"/>
  <c r="E670" i="2"/>
  <c r="D671" i="2"/>
  <c r="E671" i="2"/>
  <c r="D672" i="2"/>
  <c r="E672" i="2"/>
  <c r="D673" i="2"/>
  <c r="E673" i="2"/>
  <c r="D674" i="2"/>
  <c r="E674" i="2"/>
  <c r="D675" i="2"/>
  <c r="E675" i="2"/>
  <c r="D676" i="2"/>
  <c r="E676" i="2"/>
  <c r="D677" i="2"/>
  <c r="E677" i="2"/>
  <c r="D678" i="2"/>
  <c r="E678" i="2"/>
  <c r="D679" i="2"/>
  <c r="E679" i="2"/>
  <c r="D680" i="2"/>
  <c r="E680" i="2"/>
  <c r="D681" i="2"/>
  <c r="E681" i="2"/>
  <c r="D682" i="2"/>
  <c r="E682" i="2"/>
  <c r="D683" i="2"/>
  <c r="E683" i="2"/>
  <c r="D684" i="2"/>
  <c r="E684" i="2"/>
  <c r="D685" i="2"/>
  <c r="E685" i="2"/>
  <c r="D686" i="2"/>
  <c r="E686" i="2"/>
  <c r="D687" i="2"/>
  <c r="E687" i="2"/>
  <c r="D688" i="2"/>
  <c r="E688" i="2"/>
  <c r="D689" i="2"/>
  <c r="E689" i="2"/>
  <c r="D690" i="2"/>
  <c r="E690" i="2"/>
  <c r="D691" i="2"/>
  <c r="E691" i="2"/>
  <c r="D692" i="2"/>
  <c r="E692" i="2"/>
  <c r="D693" i="2"/>
  <c r="E693" i="2"/>
  <c r="D694" i="2"/>
  <c r="E694" i="2"/>
  <c r="D695" i="2"/>
  <c r="E695" i="2"/>
  <c r="D696" i="2"/>
  <c r="E696" i="2"/>
  <c r="D697" i="2"/>
  <c r="E697" i="2"/>
  <c r="D698" i="2"/>
  <c r="E698" i="2"/>
  <c r="D699" i="2"/>
  <c r="E699" i="2"/>
  <c r="D700" i="2"/>
  <c r="E700" i="2"/>
  <c r="D701" i="2"/>
  <c r="E701" i="2"/>
  <c r="D702" i="2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D714" i="2"/>
  <c r="E714" i="2"/>
  <c r="D715" i="2"/>
  <c r="E715" i="2"/>
  <c r="D716" i="2"/>
  <c r="E716" i="2"/>
  <c r="D717" i="2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E730" i="2"/>
  <c r="D731" i="2"/>
  <c r="E731" i="2"/>
  <c r="D732" i="2"/>
  <c r="E732" i="2"/>
  <c r="D733" i="2"/>
  <c r="E733" i="2"/>
  <c r="D734" i="2"/>
  <c r="E734" i="2"/>
  <c r="D735" i="2"/>
  <c r="E735" i="2"/>
  <c r="D736" i="2"/>
  <c r="E736" i="2"/>
  <c r="D737" i="2"/>
  <c r="E737" i="2"/>
  <c r="D738" i="2"/>
  <c r="E738" i="2"/>
  <c r="D739" i="2"/>
  <c r="E739" i="2"/>
  <c r="D740" i="2"/>
  <c r="E740" i="2"/>
  <c r="D741" i="2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E755" i="2"/>
  <c r="D756" i="2"/>
  <c r="E756" i="2"/>
  <c r="D757" i="2"/>
  <c r="E757" i="2"/>
  <c r="D758" i="2"/>
  <c r="E758" i="2"/>
  <c r="D759" i="2"/>
  <c r="E759" i="2"/>
  <c r="D760" i="2"/>
  <c r="E760" i="2"/>
  <c r="D761" i="2"/>
  <c r="E761" i="2"/>
  <c r="D762" i="2"/>
  <c r="E762" i="2"/>
  <c r="D763" i="2"/>
  <c r="E763" i="2"/>
  <c r="D764" i="2"/>
  <c r="E764" i="2"/>
  <c r="D765" i="2"/>
  <c r="E765" i="2"/>
  <c r="D766" i="2"/>
  <c r="E766" i="2"/>
  <c r="D767" i="2"/>
  <c r="E767" i="2"/>
  <c r="D768" i="2"/>
  <c r="E768" i="2"/>
  <c r="D769" i="2"/>
  <c r="E769" i="2"/>
  <c r="D770" i="2"/>
  <c r="E770" i="2"/>
  <c r="D771" i="2"/>
  <c r="E771" i="2"/>
  <c r="D772" i="2"/>
  <c r="E772" i="2"/>
  <c r="D773" i="2"/>
  <c r="E773" i="2"/>
  <c r="D774" i="2"/>
  <c r="E774" i="2"/>
  <c r="D775" i="2"/>
  <c r="E775" i="2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E783" i="2"/>
  <c r="D784" i="2"/>
  <c r="E784" i="2"/>
  <c r="D785" i="2"/>
  <c r="E785" i="2"/>
  <c r="D786" i="2"/>
  <c r="E786" i="2"/>
  <c r="D787" i="2"/>
  <c r="E787" i="2"/>
  <c r="D788" i="2"/>
  <c r="E788" i="2"/>
  <c r="D789" i="2"/>
  <c r="E789" i="2"/>
  <c r="D790" i="2"/>
  <c r="E790" i="2"/>
  <c r="D791" i="2"/>
  <c r="E791" i="2"/>
  <c r="D792" i="2"/>
  <c r="E792" i="2"/>
  <c r="D793" i="2"/>
  <c r="E793" i="2"/>
  <c r="D794" i="2"/>
  <c r="E794" i="2"/>
  <c r="D795" i="2"/>
  <c r="E795" i="2"/>
  <c r="D796" i="2"/>
  <c r="E796" i="2"/>
  <c r="D797" i="2"/>
  <c r="E797" i="2"/>
  <c r="D798" i="2"/>
  <c r="E798" i="2"/>
  <c r="D799" i="2"/>
  <c r="E799" i="2"/>
  <c r="D800" i="2"/>
  <c r="E800" i="2"/>
  <c r="D801" i="2"/>
  <c r="E801" i="2"/>
  <c r="D802" i="2"/>
  <c r="E802" i="2"/>
  <c r="D803" i="2"/>
  <c r="E803" i="2"/>
  <c r="D804" i="2"/>
  <c r="E804" i="2"/>
  <c r="D805" i="2"/>
  <c r="E805" i="2"/>
  <c r="D806" i="2"/>
  <c r="E806" i="2"/>
  <c r="D807" i="2"/>
  <c r="E807" i="2"/>
  <c r="D808" i="2"/>
  <c r="E808" i="2"/>
  <c r="D809" i="2"/>
  <c r="E809" i="2"/>
  <c r="D810" i="2"/>
  <c r="E810" i="2"/>
  <c r="D811" i="2"/>
  <c r="E811" i="2"/>
  <c r="D812" i="2"/>
  <c r="E812" i="2"/>
  <c r="D813" i="2"/>
  <c r="E813" i="2"/>
  <c r="D814" i="2"/>
  <c r="E814" i="2"/>
  <c r="D815" i="2"/>
  <c r="E815" i="2"/>
  <c r="D816" i="2"/>
  <c r="E816" i="2"/>
  <c r="D817" i="2"/>
  <c r="E817" i="2"/>
  <c r="D818" i="2"/>
  <c r="E818" i="2"/>
  <c r="D819" i="2"/>
  <c r="E819" i="2"/>
  <c r="D820" i="2"/>
  <c r="E820" i="2"/>
  <c r="D821" i="2"/>
  <c r="E821" i="2"/>
  <c r="D822" i="2"/>
  <c r="E822" i="2"/>
  <c r="D823" i="2"/>
  <c r="E823" i="2"/>
  <c r="D824" i="2"/>
  <c r="E824" i="2"/>
  <c r="D825" i="2"/>
  <c r="E825" i="2"/>
  <c r="D826" i="2"/>
  <c r="E826" i="2"/>
  <c r="D827" i="2"/>
  <c r="E827" i="2"/>
  <c r="D828" i="2"/>
  <c r="E828" i="2"/>
  <c r="D829" i="2"/>
  <c r="E829" i="2"/>
  <c r="D830" i="2"/>
  <c r="E830" i="2"/>
  <c r="D831" i="2"/>
  <c r="E831" i="2"/>
  <c r="D832" i="2"/>
  <c r="E832" i="2"/>
  <c r="D833" i="2"/>
  <c r="E833" i="2"/>
  <c r="D834" i="2"/>
  <c r="E834" i="2"/>
  <c r="D835" i="2"/>
  <c r="E835" i="2"/>
  <c r="D836" i="2"/>
  <c r="E836" i="2"/>
  <c r="D837" i="2"/>
  <c r="E837" i="2"/>
  <c r="D838" i="2"/>
  <c r="E838" i="2"/>
  <c r="D839" i="2"/>
  <c r="E839" i="2"/>
  <c r="D840" i="2"/>
  <c r="E840" i="2"/>
  <c r="D841" i="2"/>
  <c r="E841" i="2"/>
  <c r="D842" i="2"/>
  <c r="E842" i="2"/>
  <c r="D843" i="2"/>
  <c r="E843" i="2"/>
  <c r="D844" i="2"/>
  <c r="E844" i="2"/>
  <c r="D845" i="2"/>
  <c r="E845" i="2"/>
  <c r="D846" i="2"/>
  <c r="E846" i="2"/>
  <c r="D847" i="2"/>
  <c r="E847" i="2"/>
  <c r="D848" i="2"/>
  <c r="E848" i="2"/>
  <c r="D849" i="2"/>
  <c r="E849" i="2"/>
  <c r="D850" i="2"/>
  <c r="E850" i="2"/>
  <c r="D851" i="2"/>
  <c r="E851" i="2"/>
  <c r="D852" i="2"/>
  <c r="E852" i="2"/>
  <c r="D853" i="2"/>
  <c r="E853" i="2"/>
  <c r="D854" i="2"/>
  <c r="E854" i="2"/>
  <c r="D855" i="2"/>
  <c r="E855" i="2"/>
  <c r="D856" i="2"/>
  <c r="E856" i="2"/>
  <c r="D857" i="2"/>
  <c r="E857" i="2"/>
  <c r="D858" i="2"/>
  <c r="E858" i="2"/>
  <c r="D859" i="2"/>
  <c r="E859" i="2"/>
  <c r="D860" i="2"/>
  <c r="E860" i="2"/>
  <c r="D861" i="2"/>
  <c r="E861" i="2"/>
  <c r="D862" i="2"/>
  <c r="E862" i="2"/>
  <c r="D863" i="2"/>
  <c r="E863" i="2"/>
  <c r="D864" i="2"/>
  <c r="E864" i="2"/>
  <c r="D865" i="2"/>
  <c r="E865" i="2"/>
  <c r="D866" i="2"/>
  <c r="E866" i="2"/>
  <c r="D867" i="2"/>
  <c r="E867" i="2"/>
  <c r="D868" i="2"/>
  <c r="E868" i="2"/>
  <c r="D869" i="2"/>
  <c r="E869" i="2"/>
  <c r="D870" i="2"/>
  <c r="E870" i="2"/>
  <c r="D871" i="2"/>
  <c r="E871" i="2"/>
  <c r="D872" i="2"/>
  <c r="E872" i="2"/>
  <c r="D873" i="2"/>
  <c r="E873" i="2"/>
  <c r="D874" i="2"/>
  <c r="E874" i="2"/>
  <c r="D875" i="2"/>
  <c r="E875" i="2"/>
  <c r="D876" i="2"/>
  <c r="E876" i="2"/>
  <c r="D877" i="2"/>
  <c r="E877" i="2"/>
  <c r="D878" i="2"/>
  <c r="E878" i="2"/>
  <c r="D879" i="2"/>
  <c r="E879" i="2"/>
  <c r="D880" i="2"/>
  <c r="E880" i="2"/>
  <c r="D881" i="2"/>
  <c r="E881" i="2"/>
  <c r="D882" i="2"/>
  <c r="E882" i="2"/>
  <c r="D883" i="2"/>
  <c r="E883" i="2"/>
  <c r="D884" i="2"/>
  <c r="E884" i="2"/>
  <c r="D885" i="2"/>
  <c r="E885" i="2"/>
  <c r="D886" i="2"/>
  <c r="E886" i="2"/>
  <c r="D887" i="2"/>
  <c r="E887" i="2"/>
  <c r="D888" i="2"/>
  <c r="E888" i="2"/>
  <c r="D889" i="2"/>
  <c r="E889" i="2"/>
  <c r="D890" i="2"/>
  <c r="E890" i="2"/>
  <c r="D891" i="2"/>
  <c r="E891" i="2"/>
  <c r="D892" i="2"/>
  <c r="E892" i="2"/>
  <c r="D893" i="2"/>
  <c r="E893" i="2"/>
  <c r="D894" i="2"/>
  <c r="E894" i="2"/>
  <c r="D895" i="2"/>
  <c r="E895" i="2"/>
  <c r="D896" i="2"/>
  <c r="E896" i="2"/>
  <c r="D897" i="2"/>
  <c r="E897" i="2"/>
  <c r="D898" i="2"/>
  <c r="E898" i="2"/>
  <c r="D899" i="2"/>
  <c r="E899" i="2"/>
  <c r="D900" i="2"/>
  <c r="E900" i="2"/>
  <c r="D901" i="2"/>
  <c r="E901" i="2"/>
  <c r="D902" i="2"/>
  <c r="E902" i="2"/>
  <c r="D903" i="2"/>
  <c r="E903" i="2"/>
  <c r="D904" i="2"/>
  <c r="E904" i="2"/>
  <c r="D905" i="2"/>
  <c r="E905" i="2"/>
  <c r="D906" i="2"/>
  <c r="E906" i="2"/>
  <c r="D907" i="2"/>
  <c r="E907" i="2"/>
  <c r="D908" i="2"/>
  <c r="E908" i="2"/>
  <c r="D909" i="2"/>
  <c r="E909" i="2"/>
  <c r="D910" i="2"/>
  <c r="E910" i="2"/>
  <c r="D911" i="2"/>
  <c r="E911" i="2"/>
  <c r="D912" i="2"/>
  <c r="E912" i="2"/>
  <c r="D913" i="2"/>
  <c r="E913" i="2"/>
  <c r="D914" i="2"/>
  <c r="E914" i="2"/>
  <c r="D915" i="2"/>
  <c r="E915" i="2"/>
  <c r="D916" i="2"/>
  <c r="E916" i="2"/>
  <c r="D917" i="2"/>
  <c r="E917" i="2"/>
  <c r="D918" i="2"/>
  <c r="E918" i="2"/>
  <c r="D919" i="2"/>
  <c r="E919" i="2"/>
  <c r="D920" i="2"/>
  <c r="E920" i="2"/>
  <c r="D921" i="2"/>
  <c r="E921" i="2"/>
  <c r="D922" i="2"/>
  <c r="E922" i="2"/>
  <c r="D923" i="2"/>
  <c r="E923" i="2"/>
  <c r="D924" i="2"/>
  <c r="E924" i="2"/>
  <c r="D925" i="2"/>
  <c r="E925" i="2"/>
  <c r="D926" i="2"/>
  <c r="E926" i="2"/>
  <c r="D927" i="2"/>
  <c r="E927" i="2"/>
  <c r="D928" i="2"/>
  <c r="E928" i="2"/>
  <c r="D929" i="2"/>
  <c r="E929" i="2"/>
  <c r="D930" i="2"/>
  <c r="E930" i="2"/>
  <c r="D931" i="2"/>
  <c r="E931" i="2"/>
  <c r="D932" i="2"/>
  <c r="E932" i="2"/>
  <c r="D933" i="2"/>
  <c r="E933" i="2"/>
  <c r="D934" i="2"/>
  <c r="E934" i="2"/>
  <c r="D935" i="2"/>
  <c r="E935" i="2"/>
  <c r="D936" i="2"/>
  <c r="E936" i="2"/>
  <c r="D937" i="2"/>
  <c r="E937" i="2"/>
  <c r="D938" i="2"/>
  <c r="E938" i="2"/>
  <c r="D939" i="2"/>
  <c r="E939" i="2"/>
  <c r="D940" i="2"/>
  <c r="E940" i="2"/>
  <c r="D941" i="2"/>
  <c r="E941" i="2"/>
  <c r="D942" i="2"/>
  <c r="E942" i="2"/>
  <c r="D943" i="2"/>
  <c r="E943" i="2"/>
  <c r="D944" i="2"/>
  <c r="E944" i="2"/>
  <c r="D945" i="2"/>
  <c r="E945" i="2"/>
  <c r="D946" i="2"/>
  <c r="E946" i="2"/>
  <c r="D947" i="2"/>
  <c r="E947" i="2"/>
  <c r="D948" i="2"/>
  <c r="E948" i="2"/>
  <c r="D949" i="2"/>
  <c r="E949" i="2"/>
  <c r="D950" i="2"/>
  <c r="E950" i="2"/>
  <c r="D951" i="2"/>
  <c r="E951" i="2"/>
  <c r="D952" i="2"/>
  <c r="E952" i="2"/>
  <c r="D953" i="2"/>
  <c r="E953" i="2"/>
  <c r="D954" i="2"/>
  <c r="E954" i="2"/>
  <c r="D955" i="2"/>
  <c r="E955" i="2"/>
  <c r="D956" i="2"/>
  <c r="E956" i="2"/>
  <c r="D957" i="2"/>
  <c r="E957" i="2"/>
  <c r="D958" i="2"/>
  <c r="E958" i="2"/>
  <c r="D959" i="2"/>
  <c r="E959" i="2"/>
  <c r="D960" i="2"/>
  <c r="E960" i="2"/>
  <c r="D961" i="2"/>
  <c r="E961" i="2"/>
  <c r="D962" i="2"/>
  <c r="E962" i="2"/>
  <c r="D963" i="2"/>
  <c r="E963" i="2"/>
  <c r="D964" i="2"/>
  <c r="E964" i="2"/>
  <c r="D965" i="2"/>
  <c r="E965" i="2"/>
  <c r="D966" i="2"/>
  <c r="E966" i="2"/>
  <c r="D967" i="2"/>
  <c r="E967" i="2"/>
  <c r="D968" i="2"/>
  <c r="E968" i="2"/>
  <c r="D969" i="2"/>
  <c r="E969" i="2"/>
  <c r="D970" i="2"/>
  <c r="E970" i="2"/>
  <c r="D971" i="2"/>
  <c r="E971" i="2"/>
  <c r="D972" i="2"/>
  <c r="E972" i="2"/>
  <c r="D973" i="2"/>
  <c r="E973" i="2"/>
  <c r="D974" i="2"/>
  <c r="E974" i="2"/>
  <c r="D975" i="2"/>
  <c r="E975" i="2"/>
  <c r="D976" i="2"/>
  <c r="E976" i="2"/>
  <c r="D977" i="2"/>
  <c r="E977" i="2"/>
  <c r="D978" i="2"/>
  <c r="E978" i="2"/>
  <c r="D979" i="2"/>
  <c r="E979" i="2"/>
  <c r="D980" i="2"/>
  <c r="E980" i="2"/>
  <c r="D981" i="2"/>
  <c r="E981" i="2"/>
  <c r="D982" i="2"/>
  <c r="E982" i="2"/>
  <c r="D983" i="2"/>
  <c r="E983" i="2"/>
  <c r="D984" i="2"/>
  <c r="E984" i="2"/>
  <c r="D985" i="2"/>
  <c r="E985" i="2"/>
  <c r="D986" i="2"/>
  <c r="E986" i="2"/>
  <c r="D987" i="2"/>
  <c r="E987" i="2"/>
  <c r="D988" i="2"/>
  <c r="E988" i="2"/>
  <c r="D989" i="2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1203" i="2"/>
  <c r="E1203" i="2"/>
  <c r="D1204" i="2"/>
  <c r="E1204" i="2"/>
  <c r="D1205" i="2"/>
  <c r="E1205" i="2"/>
  <c r="D1206" i="2"/>
  <c r="E1206" i="2"/>
  <c r="D1207" i="2"/>
  <c r="E1207" i="2"/>
  <c r="D1208" i="2"/>
  <c r="E1208" i="2"/>
  <c r="D1209" i="2"/>
  <c r="E1209" i="2"/>
  <c r="D1210" i="2"/>
  <c r="E1210" i="2"/>
  <c r="D1211" i="2"/>
  <c r="E1211" i="2"/>
  <c r="D1212" i="2"/>
  <c r="E1212" i="2"/>
  <c r="D1213" i="2"/>
  <c r="E1213" i="2"/>
  <c r="D1214" i="2"/>
  <c r="E1214" i="2"/>
  <c r="D1215" i="2"/>
  <c r="E1215" i="2"/>
  <c r="D1216" i="2"/>
  <c r="E1216" i="2"/>
  <c r="D1217" i="2"/>
  <c r="E1217" i="2"/>
  <c r="D1218" i="2"/>
  <c r="E1218" i="2"/>
  <c r="D1219" i="2"/>
  <c r="E1219" i="2"/>
  <c r="D1220" i="2"/>
  <c r="E1220" i="2"/>
  <c r="D1221" i="2"/>
  <c r="E1221" i="2"/>
  <c r="D1222" i="2"/>
  <c r="E1222" i="2"/>
  <c r="D1223" i="2"/>
  <c r="E1223" i="2"/>
  <c r="D1224" i="2"/>
  <c r="E1224" i="2"/>
  <c r="D1225" i="2"/>
  <c r="E1225" i="2"/>
  <c r="D1226" i="2"/>
  <c r="E1226" i="2"/>
  <c r="D1227" i="2"/>
  <c r="E1227" i="2"/>
  <c r="D1228" i="2"/>
  <c r="E1228" i="2"/>
  <c r="D1229" i="2"/>
  <c r="E1229" i="2"/>
  <c r="D1230" i="2"/>
  <c r="E1230" i="2"/>
  <c r="D1231" i="2"/>
  <c r="E1231" i="2"/>
  <c r="D1232" i="2"/>
  <c r="E1232" i="2"/>
  <c r="D1233" i="2"/>
  <c r="E1233" i="2"/>
  <c r="D1234" i="2"/>
  <c r="E1234" i="2"/>
  <c r="D1235" i="2"/>
  <c r="E1235" i="2"/>
  <c r="D1236" i="2"/>
  <c r="E1236" i="2"/>
  <c r="D1237" i="2"/>
  <c r="E1237" i="2"/>
  <c r="D1238" i="2"/>
  <c r="E1238" i="2"/>
  <c r="D1239" i="2"/>
  <c r="E1239" i="2"/>
  <c r="D1240" i="2"/>
  <c r="E1240" i="2"/>
  <c r="D1241" i="2"/>
  <c r="E1241" i="2"/>
  <c r="D1242" i="2"/>
  <c r="E1242" i="2"/>
  <c r="D1243" i="2"/>
  <c r="E1243" i="2"/>
  <c r="D1244" i="2"/>
  <c r="E1244" i="2"/>
  <c r="D1245" i="2"/>
  <c r="E1245" i="2"/>
  <c r="D1246" i="2"/>
  <c r="E1246" i="2"/>
  <c r="D1247" i="2"/>
  <c r="E1247" i="2"/>
  <c r="D1248" i="2"/>
  <c r="E1248" i="2"/>
  <c r="D1249" i="2"/>
  <c r="E1249" i="2"/>
  <c r="D1250" i="2"/>
  <c r="E1250" i="2"/>
  <c r="D1251" i="2"/>
  <c r="E1251" i="2"/>
  <c r="D1252" i="2"/>
  <c r="E1252" i="2"/>
  <c r="D1253" i="2"/>
  <c r="E1253" i="2"/>
  <c r="D1254" i="2"/>
  <c r="E1254" i="2"/>
  <c r="D1255" i="2"/>
  <c r="E1255" i="2"/>
  <c r="D1256" i="2"/>
  <c r="E1256" i="2"/>
  <c r="D1257" i="2"/>
  <c r="E1257" i="2"/>
  <c r="D1258" i="2"/>
  <c r="E1258" i="2"/>
  <c r="D1259" i="2"/>
  <c r="E1259" i="2"/>
  <c r="D1260" i="2"/>
  <c r="E1260" i="2"/>
  <c r="D1261" i="2"/>
  <c r="E1261" i="2"/>
  <c r="D1262" i="2"/>
  <c r="E1262" i="2"/>
  <c r="D1263" i="2"/>
  <c r="E1263" i="2"/>
  <c r="D1264" i="2"/>
  <c r="E1264" i="2"/>
  <c r="D1265" i="2"/>
  <c r="E1265" i="2"/>
  <c r="D1266" i="2"/>
  <c r="E1266" i="2"/>
  <c r="D1267" i="2"/>
  <c r="E1267" i="2"/>
  <c r="D1268" i="2"/>
  <c r="E1268" i="2"/>
  <c r="D1269" i="2"/>
  <c r="E1269" i="2"/>
  <c r="D1270" i="2"/>
  <c r="E1270" i="2"/>
  <c r="D1271" i="2"/>
  <c r="E1271" i="2"/>
  <c r="D1272" i="2"/>
  <c r="E1272" i="2"/>
  <c r="D1273" i="2"/>
  <c r="E1273" i="2"/>
  <c r="D1274" i="2"/>
  <c r="E1274" i="2"/>
  <c r="D1275" i="2"/>
  <c r="E1275" i="2"/>
  <c r="D1276" i="2"/>
  <c r="E1276" i="2"/>
  <c r="D1277" i="2"/>
  <c r="E1277" i="2"/>
  <c r="D1278" i="2"/>
  <c r="E1278" i="2"/>
  <c r="D1279" i="2"/>
  <c r="E1279" i="2"/>
  <c r="D1280" i="2"/>
  <c r="E1280" i="2"/>
  <c r="D1281" i="2"/>
  <c r="E1281" i="2"/>
  <c r="D1282" i="2"/>
  <c r="E1282" i="2"/>
  <c r="D1283" i="2"/>
  <c r="E1283" i="2"/>
  <c r="D1284" i="2"/>
  <c r="E1284" i="2"/>
  <c r="D1285" i="2"/>
  <c r="E1285" i="2"/>
  <c r="D1286" i="2"/>
  <c r="E1286" i="2"/>
  <c r="D1287" i="2"/>
  <c r="E1287" i="2"/>
  <c r="D1288" i="2"/>
  <c r="E1288" i="2"/>
  <c r="D1289" i="2"/>
  <c r="E1289" i="2"/>
  <c r="D1290" i="2"/>
  <c r="E1290" i="2"/>
  <c r="D1291" i="2"/>
  <c r="E1291" i="2"/>
  <c r="D1292" i="2"/>
  <c r="E1292" i="2"/>
  <c r="D1293" i="2"/>
  <c r="E1293" i="2"/>
  <c r="D1294" i="2"/>
  <c r="E1294" i="2"/>
  <c r="D1295" i="2"/>
  <c r="E1295" i="2"/>
  <c r="D1296" i="2"/>
  <c r="E1296" i="2"/>
  <c r="D1297" i="2"/>
  <c r="E1297" i="2"/>
  <c r="D1298" i="2"/>
  <c r="E1298" i="2"/>
  <c r="D1299" i="2"/>
  <c r="E1299" i="2"/>
  <c r="D1300" i="2"/>
  <c r="E1300" i="2"/>
  <c r="D1301" i="2"/>
  <c r="E1301" i="2"/>
  <c r="D1302" i="2"/>
  <c r="E1302" i="2"/>
  <c r="D1303" i="2"/>
  <c r="E1303" i="2"/>
  <c r="D1304" i="2"/>
  <c r="E1304" i="2"/>
  <c r="D1305" i="2"/>
  <c r="E1305" i="2"/>
  <c r="D1306" i="2"/>
  <c r="E1306" i="2"/>
  <c r="D1307" i="2"/>
  <c r="E1307" i="2"/>
  <c r="D1308" i="2"/>
  <c r="E1308" i="2"/>
  <c r="D1309" i="2"/>
  <c r="E1309" i="2"/>
  <c r="D1310" i="2"/>
  <c r="E1310" i="2"/>
  <c r="D1311" i="2"/>
  <c r="E1311" i="2"/>
  <c r="D1312" i="2"/>
  <c r="E1312" i="2"/>
  <c r="D1313" i="2"/>
  <c r="E1313" i="2"/>
  <c r="D1314" i="2"/>
  <c r="E1314" i="2"/>
  <c r="D1315" i="2"/>
  <c r="E1315" i="2"/>
  <c r="D1316" i="2"/>
  <c r="E1316" i="2"/>
  <c r="D1317" i="2"/>
  <c r="E1317" i="2"/>
  <c r="D1318" i="2"/>
  <c r="E1318" i="2"/>
  <c r="D1319" i="2"/>
  <c r="E1319" i="2"/>
  <c r="D1320" i="2"/>
  <c r="E1320" i="2"/>
  <c r="D1321" i="2"/>
  <c r="E1321" i="2"/>
  <c r="D1322" i="2"/>
  <c r="E1322" i="2"/>
  <c r="D1323" i="2"/>
  <c r="E1323" i="2"/>
  <c r="D1324" i="2"/>
  <c r="E1324" i="2"/>
  <c r="D1325" i="2"/>
  <c r="E1325" i="2"/>
  <c r="D1326" i="2"/>
  <c r="E1326" i="2"/>
  <c r="D1327" i="2"/>
  <c r="E1327" i="2"/>
  <c r="D1328" i="2"/>
  <c r="E1328" i="2"/>
  <c r="D1329" i="2"/>
  <c r="E1329" i="2"/>
  <c r="D1330" i="2"/>
  <c r="E1330" i="2"/>
  <c r="D1331" i="2"/>
  <c r="E1331" i="2"/>
  <c r="D1332" i="2"/>
  <c r="E1332" i="2"/>
  <c r="D1333" i="2"/>
  <c r="E1333" i="2"/>
  <c r="D1334" i="2"/>
  <c r="E1334" i="2"/>
  <c r="D1335" i="2"/>
  <c r="E1335" i="2"/>
  <c r="D1336" i="2"/>
  <c r="E1336" i="2"/>
  <c r="D1337" i="2"/>
  <c r="E1337" i="2"/>
  <c r="D1338" i="2"/>
  <c r="E1338" i="2"/>
  <c r="D1339" i="2"/>
  <c r="E1339" i="2"/>
  <c r="D1340" i="2"/>
  <c r="E1340" i="2"/>
  <c r="D1341" i="2"/>
  <c r="E1341" i="2"/>
  <c r="D1342" i="2"/>
  <c r="E1342" i="2"/>
  <c r="D1343" i="2"/>
  <c r="E1343" i="2"/>
  <c r="D1344" i="2"/>
  <c r="E1344" i="2"/>
  <c r="D1345" i="2"/>
  <c r="E1345" i="2"/>
  <c r="D1346" i="2"/>
  <c r="E1346" i="2"/>
  <c r="D1347" i="2"/>
  <c r="E1347" i="2"/>
  <c r="D1348" i="2"/>
  <c r="E1348" i="2"/>
  <c r="D1349" i="2"/>
  <c r="E1349" i="2"/>
  <c r="D1350" i="2"/>
  <c r="E1350" i="2"/>
  <c r="D1351" i="2"/>
  <c r="E1351" i="2"/>
  <c r="D1352" i="2"/>
  <c r="E1352" i="2"/>
  <c r="D1353" i="2"/>
  <c r="E1353" i="2"/>
  <c r="D1354" i="2"/>
  <c r="E1354" i="2"/>
  <c r="D1355" i="2"/>
  <c r="E1355" i="2"/>
  <c r="D1356" i="2"/>
  <c r="E1356" i="2"/>
  <c r="D1357" i="2"/>
  <c r="E1357" i="2"/>
  <c r="D1358" i="2"/>
  <c r="E1358" i="2"/>
  <c r="D1359" i="2"/>
  <c r="E1359" i="2"/>
  <c r="D1360" i="2"/>
  <c r="E1360" i="2"/>
  <c r="D1361" i="2"/>
  <c r="E1361" i="2"/>
  <c r="D1362" i="2"/>
  <c r="E1362" i="2"/>
  <c r="D1363" i="2"/>
  <c r="E1363" i="2"/>
  <c r="D1364" i="2"/>
  <c r="E1364" i="2"/>
  <c r="D1365" i="2"/>
  <c r="E1365" i="2"/>
  <c r="D1366" i="2"/>
  <c r="E1366" i="2"/>
  <c r="D1367" i="2"/>
  <c r="E1367" i="2"/>
  <c r="D1368" i="2"/>
  <c r="E1368" i="2"/>
  <c r="D1369" i="2"/>
  <c r="E1369" i="2"/>
  <c r="D1370" i="2"/>
  <c r="E1370" i="2"/>
  <c r="D1371" i="2"/>
  <c r="E1371" i="2"/>
  <c r="D1372" i="2"/>
  <c r="E1372" i="2"/>
  <c r="D1373" i="2"/>
  <c r="E1373" i="2"/>
  <c r="D1374" i="2"/>
  <c r="E1374" i="2"/>
  <c r="D1375" i="2"/>
  <c r="E1375" i="2"/>
  <c r="D1376" i="2"/>
  <c r="E1376" i="2"/>
  <c r="D1377" i="2"/>
  <c r="E1377" i="2"/>
  <c r="D1378" i="2"/>
  <c r="E1378" i="2"/>
  <c r="D1379" i="2"/>
  <c r="E1379" i="2"/>
  <c r="D1380" i="2"/>
  <c r="E1380" i="2"/>
  <c r="D1381" i="2"/>
  <c r="E1381" i="2"/>
  <c r="D1382" i="2"/>
  <c r="E1382" i="2"/>
  <c r="D1383" i="2"/>
  <c r="E1383" i="2"/>
  <c r="D1384" i="2"/>
  <c r="E1384" i="2"/>
  <c r="D1385" i="2"/>
  <c r="E1385" i="2"/>
  <c r="D1386" i="2"/>
  <c r="E1386" i="2"/>
  <c r="D1387" i="2"/>
  <c r="E1387" i="2"/>
  <c r="D1388" i="2"/>
  <c r="E1388" i="2"/>
  <c r="D1389" i="2"/>
  <c r="E1389" i="2"/>
  <c r="D1390" i="2"/>
  <c r="E1390" i="2"/>
  <c r="D1391" i="2"/>
  <c r="E1391" i="2"/>
  <c r="D1392" i="2"/>
  <c r="E1392" i="2"/>
  <c r="D1393" i="2"/>
  <c r="E1393" i="2"/>
  <c r="D1394" i="2"/>
  <c r="E1394" i="2"/>
  <c r="D1395" i="2"/>
  <c r="E1395" i="2"/>
  <c r="D1396" i="2"/>
  <c r="E1396" i="2"/>
  <c r="D1397" i="2"/>
  <c r="E1397" i="2"/>
  <c r="D1398" i="2"/>
  <c r="E1398" i="2"/>
  <c r="D1399" i="2"/>
  <c r="E1399" i="2"/>
  <c r="D1400" i="2"/>
  <c r="E1400" i="2"/>
  <c r="D1401" i="2"/>
  <c r="E1401" i="2"/>
  <c r="D1402" i="2"/>
  <c r="E1402" i="2"/>
  <c r="D1403" i="2"/>
  <c r="E1403" i="2"/>
  <c r="D1404" i="2"/>
  <c r="E1404" i="2"/>
  <c r="D1405" i="2"/>
  <c r="E1405" i="2"/>
  <c r="D1406" i="2"/>
  <c r="E1406" i="2"/>
  <c r="D1407" i="2"/>
  <c r="E1407" i="2"/>
  <c r="D1408" i="2"/>
  <c r="E1408" i="2"/>
  <c r="D1409" i="2"/>
  <c r="E1409" i="2"/>
  <c r="D1410" i="2"/>
  <c r="E1410" i="2"/>
  <c r="D1411" i="2"/>
  <c r="E1411" i="2"/>
  <c r="D1412" i="2"/>
  <c r="E1412" i="2"/>
  <c r="D1413" i="2"/>
  <c r="E1413" i="2"/>
  <c r="D1414" i="2"/>
  <c r="E1414" i="2"/>
  <c r="D1415" i="2"/>
  <c r="E1415" i="2"/>
  <c r="D1416" i="2"/>
  <c r="E1416" i="2"/>
  <c r="D1417" i="2"/>
  <c r="E1417" i="2"/>
  <c r="D1418" i="2"/>
  <c r="E1418" i="2"/>
  <c r="D1419" i="2"/>
  <c r="E1419" i="2"/>
  <c r="D1420" i="2"/>
  <c r="E1420" i="2"/>
  <c r="D1421" i="2"/>
  <c r="E1421" i="2"/>
  <c r="D1422" i="2"/>
  <c r="E1422" i="2"/>
  <c r="D1423" i="2"/>
  <c r="E1423" i="2"/>
  <c r="D1424" i="2"/>
  <c r="E1424" i="2"/>
  <c r="D1425" i="2"/>
  <c r="E1425" i="2"/>
  <c r="D1426" i="2"/>
  <c r="E1426" i="2"/>
  <c r="D1427" i="2"/>
  <c r="E1427" i="2"/>
  <c r="D1428" i="2"/>
  <c r="E1428" i="2"/>
  <c r="D1429" i="2"/>
  <c r="E1429" i="2"/>
  <c r="D1430" i="2"/>
  <c r="E1430" i="2"/>
  <c r="D1431" i="2"/>
  <c r="E1431" i="2"/>
  <c r="D1432" i="2"/>
  <c r="E1432" i="2"/>
  <c r="D1433" i="2"/>
  <c r="E1433" i="2"/>
  <c r="D1434" i="2"/>
  <c r="E1434" i="2"/>
  <c r="D1435" i="2"/>
  <c r="E1435" i="2"/>
  <c r="D1436" i="2"/>
  <c r="E1436" i="2"/>
  <c r="D1437" i="2"/>
  <c r="E1437" i="2"/>
  <c r="D1438" i="2"/>
  <c r="E1438" i="2"/>
  <c r="D1439" i="2"/>
  <c r="E1439" i="2"/>
  <c r="D1440" i="2"/>
  <c r="E1440" i="2"/>
  <c r="D1441" i="2"/>
  <c r="E1441" i="2"/>
  <c r="D1442" i="2"/>
  <c r="E1442" i="2"/>
  <c r="D1443" i="2"/>
  <c r="E1443" i="2"/>
  <c r="D1444" i="2"/>
  <c r="E1444" i="2"/>
  <c r="D1445" i="2"/>
  <c r="E1445" i="2"/>
  <c r="D1446" i="2"/>
  <c r="E1446" i="2"/>
  <c r="D1447" i="2"/>
  <c r="E1447" i="2"/>
  <c r="D1448" i="2"/>
  <c r="E1448" i="2"/>
  <c r="D1449" i="2"/>
  <c r="E1449" i="2"/>
  <c r="D1450" i="2"/>
  <c r="E1450" i="2"/>
  <c r="D1451" i="2"/>
  <c r="E1451" i="2"/>
  <c r="D1452" i="2"/>
  <c r="E1452" i="2"/>
  <c r="D1453" i="2"/>
  <c r="E1453" i="2"/>
  <c r="D1454" i="2"/>
  <c r="E1454" i="2"/>
  <c r="D1455" i="2"/>
  <c r="E1455" i="2"/>
  <c r="D1456" i="2"/>
  <c r="E1456" i="2"/>
  <c r="D1457" i="2"/>
  <c r="E1457" i="2"/>
  <c r="D1458" i="2"/>
  <c r="E1458" i="2"/>
  <c r="D1459" i="2"/>
  <c r="E1459" i="2"/>
  <c r="D1460" i="2"/>
  <c r="E1460" i="2"/>
  <c r="D1461" i="2"/>
  <c r="E1461" i="2"/>
  <c r="D1462" i="2"/>
  <c r="E1462" i="2"/>
  <c r="D1463" i="2"/>
  <c r="E1463" i="2"/>
  <c r="D1464" i="2"/>
  <c r="E1464" i="2"/>
  <c r="D1465" i="2"/>
  <c r="E1465" i="2"/>
  <c r="D1466" i="2"/>
  <c r="E1466" i="2"/>
  <c r="D1467" i="2"/>
  <c r="E1467" i="2"/>
  <c r="D1468" i="2"/>
  <c r="E1468" i="2"/>
  <c r="D1469" i="2"/>
  <c r="E1469" i="2"/>
  <c r="D1470" i="2"/>
  <c r="E1470" i="2"/>
  <c r="D1471" i="2"/>
  <c r="E1471" i="2"/>
  <c r="D1472" i="2"/>
  <c r="E1472" i="2"/>
  <c r="D1473" i="2"/>
  <c r="E1473" i="2"/>
  <c r="D1474" i="2"/>
  <c r="E1474" i="2"/>
  <c r="D1475" i="2"/>
  <c r="E1475" i="2"/>
  <c r="D1476" i="2"/>
  <c r="E1476" i="2"/>
  <c r="D1477" i="2"/>
  <c r="E1477" i="2"/>
  <c r="D1478" i="2"/>
  <c r="E1478" i="2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E24" i="3"/>
  <c r="B24" i="3"/>
  <c r="E23" i="3"/>
  <c r="B23" i="3"/>
  <c r="E22" i="3"/>
  <c r="B22" i="3"/>
  <c r="E21" i="3"/>
  <c r="B21" i="3"/>
  <c r="E20" i="3"/>
  <c r="B20" i="3"/>
  <c r="H20" i="3"/>
  <c r="E19" i="3"/>
  <c r="B19" i="3"/>
  <c r="H19" i="3"/>
  <c r="E18" i="3"/>
  <c r="B18" i="3"/>
  <c r="H18" i="3"/>
  <c r="E17" i="3"/>
  <c r="B17" i="3"/>
  <c r="H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H9" i="3"/>
  <c r="E9" i="3"/>
  <c r="B9" i="3"/>
  <c r="H8" i="3"/>
  <c r="E8" i="3"/>
  <c r="B8" i="3"/>
  <c r="H7" i="3"/>
  <c r="E7" i="3"/>
  <c r="B7" i="3"/>
  <c r="E6" i="3"/>
  <c r="B6" i="3"/>
  <c r="H5" i="3"/>
  <c r="E5" i="3"/>
  <c r="B5" i="3"/>
  <c r="H4" i="3"/>
  <c r="E4" i="3"/>
  <c r="B4" i="3"/>
  <c r="H3" i="3"/>
  <c r="E3" i="3"/>
  <c r="B3" i="3"/>
  <c r="H2" i="3"/>
  <c r="E2" i="3"/>
  <c r="B2" i="3"/>
  <c r="D17" i="1"/>
  <c r="D16" i="1"/>
  <c r="D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  <c r="C19" i="1" s="1"/>
  <c r="C18" i="1" l="1"/>
</calcChain>
</file>

<file path=xl/sharedStrings.xml><?xml version="1.0" encoding="utf-8"?>
<sst xmlns="http://schemas.openxmlformats.org/spreadsheetml/2006/main" count="47332" uniqueCount="17057">
  <si>
    <t>&lt;--- Enter Oil and Gas Permit Number for Facility Information</t>
  </si>
  <si>
    <t>Oculus ID</t>
  </si>
  <si>
    <t>Current Status</t>
  </si>
  <si>
    <t>API Number</t>
  </si>
  <si>
    <t>Historical Status</t>
  </si>
  <si>
    <t>PA Number</t>
  </si>
  <si>
    <t>TVD</t>
  </si>
  <si>
    <t>Well Name</t>
  </si>
  <si>
    <t>MD</t>
  </si>
  <si>
    <t>Operator</t>
  </si>
  <si>
    <t>Conductor Casing</t>
  </si>
  <si>
    <t>Field</t>
  </si>
  <si>
    <t>Surface Casing</t>
  </si>
  <si>
    <t>County</t>
  </si>
  <si>
    <t>Intermediate Casing</t>
  </si>
  <si>
    <t>Sec/Twp/Range</t>
  </si>
  <si>
    <t>Production Casing</t>
  </si>
  <si>
    <t>SHL</t>
  </si>
  <si>
    <t>Tubing</t>
  </si>
  <si>
    <t>BHL</t>
  </si>
  <si>
    <t>Perforations</t>
  </si>
  <si>
    <t>Latitude</t>
  </si>
  <si>
    <t>Plugs</t>
  </si>
  <si>
    <t>Longitude</t>
  </si>
  <si>
    <t>Issue Date</t>
  </si>
  <si>
    <t>Spud Date</t>
  </si>
  <si>
    <t>Completion Date</t>
  </si>
  <si>
    <t>Plug Date</t>
  </si>
  <si>
    <t>Click for Location on Map ---&gt;</t>
  </si>
  <si>
    <t>Click for Permit/Well Documents ---&gt;</t>
  </si>
  <si>
    <t>PERMIT_SORT</t>
  </si>
  <si>
    <t>PERMITNO</t>
  </si>
  <si>
    <t>OG_NUMBERS</t>
  </si>
  <si>
    <t>DOCUMENTS</t>
  </si>
  <si>
    <t>LOCATION</t>
  </si>
  <si>
    <t>COUNTY</t>
  </si>
  <si>
    <t>OILFIELD</t>
  </si>
  <si>
    <t>COMPANY</t>
  </si>
  <si>
    <t>WELL_NAME</t>
  </si>
  <si>
    <t>CURRENT_STATUS</t>
  </si>
  <si>
    <t>HISTORICAL_STATUS</t>
  </si>
  <si>
    <t>OIL_SHOW</t>
  </si>
  <si>
    <t>SCAN</t>
  </si>
  <si>
    <t>WELL_LOGS</t>
  </si>
  <si>
    <t>LOCALE</t>
  </si>
  <si>
    <t>FEDLANDS</t>
  </si>
  <si>
    <t>QSECTR</t>
  </si>
  <si>
    <t>LATITUDE</t>
  </si>
  <si>
    <t>LONGITUDE</t>
  </si>
  <si>
    <t>LAT_DDMMSS</t>
  </si>
  <si>
    <t>LONG_DDMMSS</t>
  </si>
  <si>
    <t>DERRICK_ELEV</t>
  </si>
  <si>
    <t>GRND_ELEV</t>
  </si>
  <si>
    <t>ISSUE_DATE</t>
  </si>
  <si>
    <t>SPUD_DATE</t>
  </si>
  <si>
    <t>COMPLETION_DATE</t>
  </si>
  <si>
    <t>PLUG_DATE</t>
  </si>
  <si>
    <t>COND_CSG</t>
  </si>
  <si>
    <t>SURF_CSG</t>
  </si>
  <si>
    <t>INT_CSG</t>
  </si>
  <si>
    <t>PROD_CSG</t>
  </si>
  <si>
    <t>TUBING</t>
  </si>
  <si>
    <t>SAMPLES</t>
  </si>
  <si>
    <t>CORES</t>
  </si>
  <si>
    <t>CORE_ANALY</t>
  </si>
  <si>
    <t>DR_STM_TST</t>
  </si>
  <si>
    <t>TEST_OIL</t>
  </si>
  <si>
    <t>TEST_GAS</t>
  </si>
  <si>
    <t>TEST_WATER</t>
  </si>
  <si>
    <t>PERFS_OPEN_INTERVAL</t>
  </si>
  <si>
    <t>PLUGS</t>
  </si>
  <si>
    <t>BHT_DEG_F</t>
  </si>
  <si>
    <t>API_NO</t>
  </si>
  <si>
    <t>WNUMBER</t>
  </si>
  <si>
    <t>PA_NUMBERS</t>
  </si>
  <si>
    <t>COMMENTS</t>
  </si>
  <si>
    <t>PUBLIC_DATA</t>
  </si>
  <si>
    <t>OG_1</t>
  </si>
  <si>
    <t>HERNANDO</t>
  </si>
  <si>
    <t>WILDCAT</t>
  </si>
  <si>
    <t>THE OHIO OIL COMPANY</t>
  </si>
  <si>
    <t>HERNASCO CORP #1</t>
  </si>
  <si>
    <t>DRY HOLE/P&amp;A</t>
  </si>
  <si>
    <t>DRY HOLE</t>
  </si>
  <si>
    <t>Y3</t>
  </si>
  <si>
    <t>CL</t>
  </si>
  <si>
    <t>NONE</t>
  </si>
  <si>
    <t>2S19 23S 18E</t>
  </si>
  <si>
    <t>28°28' 33.79462"N</t>
  </si>
  <si>
    <t>82° 32' 57.25169" W</t>
  </si>
  <si>
    <t>510'FNL&amp;660'FWL</t>
  </si>
  <si>
    <t>26"@ 48'</t>
  </si>
  <si>
    <t>20"@ 451'</t>
  </si>
  <si>
    <t>13-3/8"@ 1977'</t>
  </si>
  <si>
    <t>NA</t>
  </si>
  <si>
    <t>YES</t>
  </si>
  <si>
    <t>3475-8472</t>
  </si>
  <si>
    <t>5583-5605</t>
  </si>
  <si>
    <t>N/A</t>
  </si>
  <si>
    <t>1998-1935,0-25</t>
  </si>
  <si>
    <t>0905310001</t>
  </si>
  <si>
    <t>Y</t>
  </si>
  <si>
    <t>OG_2</t>
  </si>
  <si>
    <t>CALHOUN</t>
  </si>
  <si>
    <t>PURE OIL CO</t>
  </si>
  <si>
    <t>IPC #3</t>
  </si>
  <si>
    <t>4S5 1S 10W</t>
  </si>
  <si>
    <t>30° 25' 14.74676" N</t>
  </si>
  <si>
    <t>85° 15' 12.06997" W</t>
  </si>
  <si>
    <t>466'FSL&amp;466'FEL</t>
  </si>
  <si>
    <t>SAME</t>
  </si>
  <si>
    <t>13-3/8"@ 103'</t>
  </si>
  <si>
    <t>9-5/8"@ 233'</t>
  </si>
  <si>
    <t>7"@ 969'</t>
  </si>
  <si>
    <t>200-277, 0-31</t>
  </si>
  <si>
    <t>0901310001</t>
  </si>
  <si>
    <t>OG_3</t>
  </si>
  <si>
    <t>ST ANDREWS BAY PROPERTY CO #2</t>
  </si>
  <si>
    <t>2S25 1N 11W</t>
  </si>
  <si>
    <t>30° 27' 27.8888" N</t>
  </si>
  <si>
    <t>85° 18' 2.46798" W</t>
  </si>
  <si>
    <t>2174'FNL&amp;466'FWL</t>
  </si>
  <si>
    <t>13-3/8"@ 102'</t>
  </si>
  <si>
    <t>9-5/8"@ 220'</t>
  </si>
  <si>
    <t>200'(10 sks cmnt),0-??(15 sks cmnt)</t>
  </si>
  <si>
    <t>0901310002</t>
  </si>
  <si>
    <t>OG_4</t>
  </si>
  <si>
    <t>LAFAYETTE</t>
  </si>
  <si>
    <t>SUN OIL CO</t>
  </si>
  <si>
    <t>P C CRAPPS ETAL #1</t>
  </si>
  <si>
    <t>EL</t>
  </si>
  <si>
    <t>1S25 6S 12E</t>
  </si>
  <si>
    <t>29° 56' 4.24039" N</t>
  </si>
  <si>
    <t>83° 4' 35.873" W</t>
  </si>
  <si>
    <t>1980'FNL&amp;2080'FEL</t>
  </si>
  <si>
    <t>16"@ 70'</t>
  </si>
  <si>
    <t>10-3/4"@971'</t>
  </si>
  <si>
    <t>1659-4130'</t>
  </si>
  <si>
    <t>3311-3261,986-944,10-0</t>
  </si>
  <si>
    <t>0906710001</t>
  </si>
  <si>
    <t>OG_5</t>
  </si>
  <si>
    <t>GILCHRIST</t>
  </si>
  <si>
    <t>ALTO ADAMS ETAL #1</t>
  </si>
  <si>
    <t>3S15 9S 15E</t>
  </si>
  <si>
    <t>29° 41' 44.4835" N</t>
  </si>
  <si>
    <t>82° 48' 18.26183" W</t>
  </si>
  <si>
    <t>10-3/4"@ 970'</t>
  </si>
  <si>
    <t>3282-3753</t>
  </si>
  <si>
    <t>3315-3253,1037-978,10-3</t>
  </si>
  <si>
    <t>0904110001</t>
  </si>
  <si>
    <t>OG_6</t>
  </si>
  <si>
    <t>BAY</t>
  </si>
  <si>
    <t>IPC #4</t>
  </si>
  <si>
    <t>3S8 3S 12W</t>
  </si>
  <si>
    <t>30° 14' 15.42005" N</t>
  </si>
  <si>
    <t>85° 28' 9.0368" W</t>
  </si>
  <si>
    <t xml:space="preserve">1984'FSL&amp;1380'FWL </t>
  </si>
  <si>
    <t>9-5/8"@ 191'</t>
  </si>
  <si>
    <t>7"@ 913'</t>
  </si>
  <si>
    <t>913(16 sks cmnt) 0-??(20 sks cmnt)</t>
  </si>
  <si>
    <t>0900500001</t>
  </si>
  <si>
    <t>OG_7</t>
  </si>
  <si>
    <t>LIBERTY</t>
  </si>
  <si>
    <t>NEAL LUMBER &amp; MANUF CO #1</t>
  </si>
  <si>
    <t>2S33 2S 8W</t>
  </si>
  <si>
    <t>30° 15' 53.13812" N</t>
  </si>
  <si>
    <t>85° 2' 26.19013" W</t>
  </si>
  <si>
    <t>2565'FNL&amp;1345'FEL</t>
  </si>
  <si>
    <t>20"@ 42'</t>
  </si>
  <si>
    <t>13-3/8"@ 94'</t>
  </si>
  <si>
    <t>9-5/8"@ 170'</t>
  </si>
  <si>
    <t>7"@ 860'</t>
  </si>
  <si>
    <t xml:space="preserve">870'-748', 26-0 </t>
  </si>
  <si>
    <t>0907710001</t>
  </si>
  <si>
    <t>OG_8</t>
  </si>
  <si>
    <t>OSCEOLA</t>
  </si>
  <si>
    <t>HUMBLE OIL &amp; REFINING CO</t>
  </si>
  <si>
    <t>N R CARROLL #1</t>
  </si>
  <si>
    <t>4S10 27S 34E</t>
  </si>
  <si>
    <t>28° 8' 48.24456" N</t>
  </si>
  <si>
    <t>80° 53' 51.15545" W</t>
  </si>
  <si>
    <t xml:space="preserve">760'FSL&amp;660'FEL </t>
  </si>
  <si>
    <t>26"@ 66'</t>
  </si>
  <si>
    <t>20"@ 230'</t>
  </si>
  <si>
    <t>13-3/8"@ 1846'</t>
  </si>
  <si>
    <t>9-5/8"@ 3495'</t>
  </si>
  <si>
    <t>1400 -8044</t>
  </si>
  <si>
    <t>6600-6500,3525-3425,1500-1771,1265-1440,0-330</t>
  </si>
  <si>
    <t>0909710001</t>
  </si>
  <si>
    <t>Replugged by FDEP in 2004</t>
  </si>
  <si>
    <t>OG_9</t>
  </si>
  <si>
    <t>FRANKLIN</t>
  </si>
  <si>
    <t>H C LISTER #1</t>
  </si>
  <si>
    <t>SL</t>
  </si>
  <si>
    <t>2S17 7S 7W</t>
  </si>
  <si>
    <t>29° 52' 23.2217" N</t>
  </si>
  <si>
    <t>84° 57' 52.33154" W</t>
  </si>
  <si>
    <t xml:space="preserve">466'FNL&amp;1850'FWL </t>
  </si>
  <si>
    <t>13-3/8"@ 100'</t>
  </si>
  <si>
    <t>9-5/8"@ 221'</t>
  </si>
  <si>
    <t>7"@ 959'</t>
  </si>
  <si>
    <t>920'(15 sks cmnt), 0-??(10 sks cmnt)</t>
  </si>
  <si>
    <t>0903710001</t>
  </si>
  <si>
    <t>OG_10</t>
  </si>
  <si>
    <t>DADE</t>
  </si>
  <si>
    <t>O D ROBINSON</t>
  </si>
  <si>
    <t>MODEL LAND CO #1</t>
  </si>
  <si>
    <t>N/D</t>
  </si>
  <si>
    <t>NEVER DRILLED</t>
  </si>
  <si>
    <t>1S29 59S 39E</t>
  </si>
  <si>
    <t>25° 16' 3.96944" N</t>
  </si>
  <si>
    <t>80° 26' 57.89414" W</t>
  </si>
  <si>
    <t>1980'FNL&amp;1980'FEL</t>
  </si>
  <si>
    <t>0902510001</t>
  </si>
  <si>
    <t>OG_11</t>
  </si>
  <si>
    <t>DIXIE</t>
  </si>
  <si>
    <t>STANOLIND OIL &amp; GAS CO</t>
  </si>
  <si>
    <t>PERPETUAL FORESTS INC #1</t>
  </si>
  <si>
    <t>2S5 11S 11E</t>
  </si>
  <si>
    <t>29° 33' 28.93432" N</t>
  </si>
  <si>
    <t>83° 14' 50.63107" W</t>
  </si>
  <si>
    <t xml:space="preserve">725'FNL&amp;585'FWL </t>
  </si>
  <si>
    <t>20"@ 28</t>
  </si>
  <si>
    <t>16"@ 200</t>
  </si>
  <si>
    <t>10-3/4"@ 1701</t>
  </si>
  <si>
    <t>1942-7510</t>
  </si>
  <si>
    <t>1750-1650,25-0</t>
  </si>
  <si>
    <t>0902910001</t>
  </si>
  <si>
    <t>OG_12</t>
  </si>
  <si>
    <t>GULF OIL CORP</t>
  </si>
  <si>
    <t>S8 60S 35E</t>
  </si>
  <si>
    <t>25° 13' 35.00366" N</t>
  </si>
  <si>
    <t>80° 49' 55.27973" W</t>
  </si>
  <si>
    <t>SEE LAT/LONG</t>
  </si>
  <si>
    <t>24"@ 173.21'</t>
  </si>
  <si>
    <t>20"@ 460'</t>
  </si>
  <si>
    <t>13-1/2"@ 2976.46'</t>
  </si>
  <si>
    <t>6000-6030</t>
  </si>
  <si>
    <t>2857-2910,1220-1170, 430-380, 40-20</t>
  </si>
  <si>
    <t>0902510002</t>
  </si>
  <si>
    <t>OG_13</t>
  </si>
  <si>
    <t>LEVY</t>
  </si>
  <si>
    <t>J T GOTHE #1</t>
  </si>
  <si>
    <t>3S31 14S 17E</t>
  </si>
  <si>
    <t>29° 13' 15.04204" N</t>
  </si>
  <si>
    <t>82° 39' 16.56972" W</t>
  </si>
  <si>
    <t>1980'FSL&amp;660'FWL</t>
  </si>
  <si>
    <t>16"@ 39'</t>
  </si>
  <si>
    <t>10-3/4"@ 1046'</t>
  </si>
  <si>
    <t>7-5/8"@ 2478'</t>
  </si>
  <si>
    <t>2152-3985</t>
  </si>
  <si>
    <t>2515-2458,2020-2300,623-1289,0-434</t>
  </si>
  <si>
    <t>0907510001</t>
  </si>
  <si>
    <t>Replugged by FDEP in 2003</t>
  </si>
  <si>
    <t>OG_14</t>
  </si>
  <si>
    <t>GEX &amp; LEWIN #1</t>
  </si>
  <si>
    <t>1S24 5S 6W</t>
  </si>
  <si>
    <t>30° 1' 54.00739" N</t>
  </si>
  <si>
    <t>84° 47' 24.99032" W</t>
  </si>
  <si>
    <t>630'FNL&amp;1400'FEL</t>
  </si>
  <si>
    <t>9-5/8"@ 169'</t>
  </si>
  <si>
    <t>7"@ 942'</t>
  </si>
  <si>
    <t xml:space="preserve">900-800,23-0 </t>
  </si>
  <si>
    <t>0907710002</t>
  </si>
  <si>
    <t>OG_15</t>
  </si>
  <si>
    <t>COLLIER</t>
  </si>
  <si>
    <t>SUNNILAND</t>
  </si>
  <si>
    <t>GCRC #8</t>
  </si>
  <si>
    <t>P&amp;A</t>
  </si>
  <si>
    <t>PRODUCER/SWD</t>
  </si>
  <si>
    <t>BIG CYPRESS SWAMP</t>
  </si>
  <si>
    <t>4S19 48S 30E</t>
  </si>
  <si>
    <t>26° 16' 58.52017" N</t>
  </si>
  <si>
    <t>81° 21' 25.1572" W</t>
  </si>
  <si>
    <t>660'FSL&amp;1980FEL</t>
  </si>
  <si>
    <t>20"@ 80'</t>
  </si>
  <si>
    <t>13-3/8"@ 1022.97</t>
  </si>
  <si>
    <t>9-5/8"@ 5749.94</t>
  </si>
  <si>
    <t>5-1\2" @ 11576'</t>
  </si>
  <si>
    <t>2" @ 11537</t>
  </si>
  <si>
    <t>9439-11576</t>
  </si>
  <si>
    <t>9859-11578</t>
  </si>
  <si>
    <t>527 BOPD</t>
  </si>
  <si>
    <t>73.1 MCFPD</t>
  </si>
  <si>
    <t>.4 BOWPD</t>
  </si>
  <si>
    <t>11564-11569</t>
  </si>
  <si>
    <t>11496(50 sks cmnt),3500-4000,0-1938</t>
  </si>
  <si>
    <t>0902110001</t>
  </si>
  <si>
    <t>Converted to SWD 4/1969</t>
  </si>
  <si>
    <t>OG_16</t>
  </si>
  <si>
    <t>MONROE</t>
  </si>
  <si>
    <t>FLA LEASE #374 #1</t>
  </si>
  <si>
    <t>KEYS</t>
  </si>
  <si>
    <t>3S15 67S 27E</t>
  </si>
  <si>
    <t>24° 36' 26.38335" N</t>
  </si>
  <si>
    <t>81° 33' 55.75204" W</t>
  </si>
  <si>
    <t>1300'FSL&amp;1800'FWL</t>
  </si>
  <si>
    <t>24"@180'</t>
  </si>
  <si>
    <t>20"@ 620'</t>
  </si>
  <si>
    <t>13-3/8"@3279'</t>
  </si>
  <si>
    <t>4960 - 6100</t>
  </si>
  <si>
    <t>3200(60 sks cmnt),2100-2150,620-570,35-15</t>
  </si>
  <si>
    <t>0908710002</t>
  </si>
  <si>
    <t>OG_17</t>
  </si>
  <si>
    <t>LCC #1</t>
  </si>
  <si>
    <t>4S28 47S 29E</t>
  </si>
  <si>
    <t>26° 21' 18.23515" N</t>
  </si>
  <si>
    <t>81° 25' 19.75966" W</t>
  </si>
  <si>
    <t>681'FSL&amp;1901'FEL</t>
  </si>
  <si>
    <t>20"@ 90'</t>
  </si>
  <si>
    <t>13-3/8"@ 1028.59</t>
  </si>
  <si>
    <t>3000(50 sks cmnt)</t>
  </si>
  <si>
    <t>0902110002</t>
  </si>
  <si>
    <t>OG_18</t>
  </si>
  <si>
    <t>WALTON</t>
  </si>
  <si>
    <t>R D LOGAN</t>
  </si>
  <si>
    <t>WALTON LAND &amp; TIMBER CO #1</t>
  </si>
  <si>
    <t>3S14 1N 18W</t>
  </si>
  <si>
    <t>30° 34' 30.86591" N</t>
  </si>
  <si>
    <t>86° 1' 14.40401" W</t>
  </si>
  <si>
    <t>660'FSL&amp;660'FWL</t>
  </si>
  <si>
    <t>16"@ 62'</t>
  </si>
  <si>
    <t>10-3/4"@ 840'</t>
  </si>
  <si>
    <t>4056-4832</t>
  </si>
  <si>
    <t>750-800,0-50</t>
  </si>
  <si>
    <t>0913110001</t>
  </si>
  <si>
    <t>OG_19</t>
  </si>
  <si>
    <t>VOLUSIA</t>
  </si>
  <si>
    <t>POWELL LAND CO #1</t>
  </si>
  <si>
    <t>3S11 17S 31E</t>
  </si>
  <si>
    <t>29° 1' 57.88805" N</t>
  </si>
  <si>
    <t>81° 10' 19.86784" W</t>
  </si>
  <si>
    <t xml:space="preserve">797'FSL&amp;777'FWL </t>
  </si>
  <si>
    <t>16"@ 94'</t>
  </si>
  <si>
    <t>10-3/4"@ 2221'</t>
  </si>
  <si>
    <t>1857-5958</t>
  </si>
  <si>
    <t>4973-4913,2220-2170,10-3</t>
  </si>
  <si>
    <t>0912710001</t>
  </si>
  <si>
    <t>OG_20</t>
  </si>
  <si>
    <t>GEX &amp; LEWIN #2</t>
  </si>
  <si>
    <t>APALACHICOLA NATIONAL FOR</t>
  </si>
  <si>
    <t>4S15 6S 4W</t>
  </si>
  <si>
    <t>29° 56' 58.93314" N</t>
  </si>
  <si>
    <t>84° 37' 31.23952" W</t>
  </si>
  <si>
    <t>2050'FSL&amp;1975'FEL</t>
  </si>
  <si>
    <t>0903710002</t>
  </si>
  <si>
    <t>OG_21</t>
  </si>
  <si>
    <t>FRANK A THOMPSON</t>
  </si>
  <si>
    <t>LEVY-LENNON SYNDICATE #3</t>
  </si>
  <si>
    <t>4S16 13S 16E</t>
  </si>
  <si>
    <t>29° 21' 5.08842" N</t>
  </si>
  <si>
    <t>82° 42' 27.88747" W</t>
  </si>
  <si>
    <t>1980'FSL&amp;660'FEL</t>
  </si>
  <si>
    <t>18"@ 201'</t>
  </si>
  <si>
    <t>12'@ 405'</t>
  </si>
  <si>
    <t>NO RECORD</t>
  </si>
  <si>
    <t>0907510002</t>
  </si>
  <si>
    <t>OG_22</t>
  </si>
  <si>
    <t>STATE OF FLORIDA LEASE #373 #1</t>
  </si>
  <si>
    <t>CL,IEL</t>
  </si>
  <si>
    <t>3S2 67S 29E</t>
  </si>
  <si>
    <t>24° 38' 10.3206" N</t>
  </si>
  <si>
    <t>81° 21' 27.11267" W</t>
  </si>
  <si>
    <t>1389'FSL&amp;2310'FWL</t>
  </si>
  <si>
    <t>24"@ 173'</t>
  </si>
  <si>
    <t>20"@ 602'</t>
  </si>
  <si>
    <t>13-3/8"@ 2985'</t>
  </si>
  <si>
    <t>9-5/8"@ 8027'</t>
  </si>
  <si>
    <t>317 - 15452</t>
  </si>
  <si>
    <t>7750-7971,0-90</t>
  </si>
  <si>
    <t>0908710003</t>
  </si>
  <si>
    <t>OG_23</t>
  </si>
  <si>
    <t>GCRC #7</t>
  </si>
  <si>
    <t>1S17 48S 30E</t>
  </si>
  <si>
    <t>26° 18' 18.47362" N</t>
  </si>
  <si>
    <t>81° 20' 25.92143" W</t>
  </si>
  <si>
    <t>20"@ 62.77'</t>
  </si>
  <si>
    <t>13-3/8"@ 997.17</t>
  </si>
  <si>
    <t>9-5/8"@ 5808.89</t>
  </si>
  <si>
    <t>11688-11842</t>
  </si>
  <si>
    <t>11686-11482,9800-9672,5864-5744,0-30</t>
  </si>
  <si>
    <t>0902110003</t>
  </si>
  <si>
    <t>OG_24</t>
  </si>
  <si>
    <t>ST ANDREWS BAY PROP CO. #1</t>
  </si>
  <si>
    <t>4S2 1S 11W</t>
  </si>
  <si>
    <t>30° 25' 20.1995" N</t>
  </si>
  <si>
    <t>85° 18' 15.88392" W</t>
  </si>
  <si>
    <t>785'FSL&amp;660'FEL</t>
  </si>
  <si>
    <t>9-5/8"@ 190'</t>
  </si>
  <si>
    <t>7"@ 759'</t>
  </si>
  <si>
    <t>190' (20 sks cmnt), capped top of casing</t>
  </si>
  <si>
    <t>0901310003</t>
  </si>
  <si>
    <t>OG_25</t>
  </si>
  <si>
    <t>IPC #1</t>
  </si>
  <si>
    <t>1S25 1S 11W</t>
  </si>
  <si>
    <t>30° 22' 25.414" N</t>
  </si>
  <si>
    <t>85° 17' 26.66018" W</t>
  </si>
  <si>
    <t>824'FNL&amp;1463'FEL</t>
  </si>
  <si>
    <t>9-5/8"@ 232'</t>
  </si>
  <si>
    <t>Filled hole with heavy mud and capped 9 5/8</t>
  </si>
  <si>
    <t>0901310004</t>
  </si>
  <si>
    <t>OG_26</t>
  </si>
  <si>
    <t>IPC #2</t>
  </si>
  <si>
    <t>3S31 1S 10W</t>
  </si>
  <si>
    <t>30° 21' 3.86363" N</t>
  </si>
  <si>
    <t>85° 16' 44.13281" W</t>
  </si>
  <si>
    <t>1381'FSL&amp;2471'FWL</t>
  </si>
  <si>
    <t>9-5/8"@ 189'</t>
  </si>
  <si>
    <t>0-??( 20 sks cmnt)</t>
  </si>
  <si>
    <t>0901310005</t>
  </si>
  <si>
    <t>OG_27</t>
  </si>
  <si>
    <t>GCRC #6</t>
  </si>
  <si>
    <t>PRODUCER</t>
  </si>
  <si>
    <t>EL CBL</t>
  </si>
  <si>
    <t>1S19 48S 30E</t>
  </si>
  <si>
    <t>26° 17' 24.83977" N</t>
  </si>
  <si>
    <t>81° 21' 24.92528" W</t>
  </si>
  <si>
    <t xml:space="preserve">3304'FSL&amp;2005'FEL </t>
  </si>
  <si>
    <t>20"@ 73</t>
  </si>
  <si>
    <t>13-3/8"@ 1001</t>
  </si>
  <si>
    <t>9-5/8"@ 5761</t>
  </si>
  <si>
    <t>7"@ 11556</t>
  </si>
  <si>
    <t>9801-11578</t>
  </si>
  <si>
    <t>225BOPD</t>
  </si>
  <si>
    <t>15.1MCFPD</t>
  </si>
  <si>
    <t>0 BWPD</t>
  </si>
  <si>
    <t>OH 11556-11578</t>
  </si>
  <si>
    <t>11583-10750,5900-5398,1930-842,180-0</t>
  </si>
  <si>
    <t>0902110004</t>
  </si>
  <si>
    <t>OG_28</t>
  </si>
  <si>
    <t>J R SEALY</t>
  </si>
  <si>
    <t>J R SEALY #2</t>
  </si>
  <si>
    <t>3S36 1S 19W</t>
  </si>
  <si>
    <t>30° 26' 47.56916" N</t>
  </si>
  <si>
    <t>86° 6' 15.9991" W</t>
  </si>
  <si>
    <t>UNKNOWN</t>
  </si>
  <si>
    <t>0913110002</t>
  </si>
  <si>
    <t>OG_29</t>
  </si>
  <si>
    <t>HILLSBOROUGH</t>
  </si>
  <si>
    <t>T S JAMESON #1</t>
  </si>
  <si>
    <t>1S7 31S 22E</t>
  </si>
  <si>
    <t>27° 48' 18.53867" N</t>
  </si>
  <si>
    <t>82° 8' 21.16712" W</t>
  </si>
  <si>
    <t xml:space="preserve">615'FNL&amp;645'FEL </t>
  </si>
  <si>
    <t>26"@ 43.60'</t>
  </si>
  <si>
    <t>20"@ 734.82'</t>
  </si>
  <si>
    <t>9-5/8"@ 4498.57'</t>
  </si>
  <si>
    <t>5816-10115</t>
  </si>
  <si>
    <t>7000-7100,4433-4533,3350-3400,390-440,20-0</t>
  </si>
  <si>
    <t>0905710001</t>
  </si>
  <si>
    <t>OG_30</t>
  </si>
  <si>
    <t>ST JOE PAPER CO #2</t>
  </si>
  <si>
    <t>1S34 6S 4W</t>
  </si>
  <si>
    <t>29° 55' 9.30986" N</t>
  </si>
  <si>
    <t>84° 37' 27.87456" W</t>
  </si>
  <si>
    <t>1780'FNL&amp;2310'FEL</t>
  </si>
  <si>
    <t>13-3/8"@ 75'</t>
  </si>
  <si>
    <t>9-5/8"@ 681'</t>
  </si>
  <si>
    <t>710-647,24-0</t>
  </si>
  <si>
    <t>0903710003</t>
  </si>
  <si>
    <t>OG_31</t>
  </si>
  <si>
    <t>W P HAYMAN #1</t>
  </si>
  <si>
    <t>4S12 31S 33E</t>
  </si>
  <si>
    <t>27° 47' 27.22333" N</t>
  </si>
  <si>
    <t>80° 58' 42.95986" W</t>
  </si>
  <si>
    <t>660'FSL&amp;1976'FEL</t>
  </si>
  <si>
    <t>26"@ 57'</t>
  </si>
  <si>
    <t>20"@ 332'</t>
  </si>
  <si>
    <t>9-5/8"@ 3900.87'</t>
  </si>
  <si>
    <t>888-8798</t>
  </si>
  <si>
    <t>7468-7502</t>
  </si>
  <si>
    <t>2450-2400,0-20</t>
  </si>
  <si>
    <t>0909710002</t>
  </si>
  <si>
    <t>OG_32</t>
  </si>
  <si>
    <t>GEX &amp; LEWIN #3</t>
  </si>
  <si>
    <t>1S3 8S 6W</t>
  </si>
  <si>
    <t>29° 48' 46.92215" N</t>
  </si>
  <si>
    <t>84° 49' 38.99676" W</t>
  </si>
  <si>
    <t>660'FNL&amp;2200'FEL</t>
  </si>
  <si>
    <t>20"@ 30'</t>
  </si>
  <si>
    <t>13-3/8"@ 104'</t>
  </si>
  <si>
    <t>9-5/8"@ 138'</t>
  </si>
  <si>
    <t>7"@ 837'</t>
  </si>
  <si>
    <t>870-770,26-0</t>
  </si>
  <si>
    <t>0903710004</t>
  </si>
  <si>
    <t>OG_33</t>
  </si>
  <si>
    <t>GADSDEN</t>
  </si>
  <si>
    <t>HAVANA SYNDICATE INC</t>
  </si>
  <si>
    <t>H H SWISHER #1</t>
  </si>
  <si>
    <t>3S31 3N 1W</t>
  </si>
  <si>
    <t>30° 36' 40.48744" N</t>
  </si>
  <si>
    <t>84° 22' 24.16447" W</t>
  </si>
  <si>
    <t>660'FSL&amp;1980'FWL</t>
  </si>
  <si>
    <t>10-3/4"@ 180'</t>
  </si>
  <si>
    <t>8-5/8"@ 514'</t>
  </si>
  <si>
    <t>1635'-4010'</t>
  </si>
  <si>
    <t>1000-946</t>
  </si>
  <si>
    <t>0903910001</t>
  </si>
  <si>
    <t>OG_34</t>
  </si>
  <si>
    <t>FLAGLER</t>
  </si>
  <si>
    <t>LAKE CRESCENT FARMS CO #1</t>
  </si>
  <si>
    <t>1S8 11S 28E</t>
  </si>
  <si>
    <t>29° 33' 48.59046" N</t>
  </si>
  <si>
    <t>81° 29' 49.89026" W</t>
  </si>
  <si>
    <t>660'FNL&amp;1980'FEL</t>
  </si>
  <si>
    <t>20"@ 106'</t>
  </si>
  <si>
    <t>0-??(355 sks cmnt)</t>
  </si>
  <si>
    <t>0903510001</t>
  </si>
  <si>
    <t>well cratered. "355 sacks cement placed in cavity at the surface"</t>
  </si>
  <si>
    <t>OG_35</t>
  </si>
  <si>
    <t>GCRC #4</t>
  </si>
  <si>
    <t>1S20 48S 30E</t>
  </si>
  <si>
    <t>26° 17' 26.0029" N</t>
  </si>
  <si>
    <t>81° 20' 25.7464" W</t>
  </si>
  <si>
    <t>1996'FNL&amp;2054'FEL</t>
  </si>
  <si>
    <t>26"@ 61</t>
  </si>
  <si>
    <t>20"@ 835</t>
  </si>
  <si>
    <t>13-3/8"@ 1470.61</t>
  </si>
  <si>
    <t>9-5/8"@ 5871.68</t>
  </si>
  <si>
    <t>7"@ 11565</t>
  </si>
  <si>
    <t>10245-11578</t>
  </si>
  <si>
    <t>11556-11597</t>
  </si>
  <si>
    <t>287BOPD</t>
  </si>
  <si>
    <t>16.3MCFPD</t>
  </si>
  <si>
    <t>11540-11534</t>
  </si>
  <si>
    <t>11472-11572,5821-5921,1400-1500,0-??(25 sks cmnt)</t>
  </si>
  <si>
    <t>0902110005</t>
  </si>
  <si>
    <t>OG_36</t>
  </si>
  <si>
    <t>MRS HAZEL LANGSTON #1</t>
  </si>
  <si>
    <t>2S8 8S 14E</t>
  </si>
  <si>
    <t>29° 48' 2.5254" N</t>
  </si>
  <si>
    <t>82° 56' 24.14242" W</t>
  </si>
  <si>
    <t>16"@ 56'</t>
  </si>
  <si>
    <t>10-3/4"@ 1458.88</t>
  </si>
  <si>
    <t>1400-3671</t>
  </si>
  <si>
    <t>3179-3191</t>
  </si>
  <si>
    <t>3824-3174,1467-1417,775-725,707-694,650-550,13.6-23</t>
  </si>
  <si>
    <t>0902910002</t>
  </si>
  <si>
    <t>OG_37</t>
  </si>
  <si>
    <t>GULF</t>
  </si>
  <si>
    <t>PICK HOLLINGER ETAL #1</t>
  </si>
  <si>
    <t>2S12 9S 11W</t>
  </si>
  <si>
    <t>29° 42' 46.45724" N</t>
  </si>
  <si>
    <t>85° 18' 1.73732" W</t>
  </si>
  <si>
    <t>2150'FNL&amp;4052'FEL</t>
  </si>
  <si>
    <t>9-5/8"@ 443'</t>
  </si>
  <si>
    <t>450(35 sks cmnt),0-??(6 sks cmnt)</t>
  </si>
  <si>
    <t>0904510002</t>
  </si>
  <si>
    <t>OG_38</t>
  </si>
  <si>
    <t>GCRC #9</t>
  </si>
  <si>
    <t>4S24 48S 29E</t>
  </si>
  <si>
    <t>26° 17' 9.44775" N</t>
  </si>
  <si>
    <t>81° 22' 17.23092" W</t>
  </si>
  <si>
    <t>1720'FSL&amp;1320'FEL</t>
  </si>
  <si>
    <t>20"@ 60'</t>
  </si>
  <si>
    <t>13-3/8"@997.5'</t>
  </si>
  <si>
    <t>9-5/8" @ 5601'</t>
  </si>
  <si>
    <t>5-1\2" @ 11581'</t>
  </si>
  <si>
    <t>9810-11590</t>
  </si>
  <si>
    <t>11566-11595</t>
  </si>
  <si>
    <t>8700' oil</t>
  </si>
  <si>
    <t>11566-11570</t>
  </si>
  <si>
    <t>435-500,0-20</t>
  </si>
  <si>
    <t>0902110006</t>
  </si>
  <si>
    <t>OG_39</t>
  </si>
  <si>
    <t>LCC #2</t>
  </si>
  <si>
    <t>681'FSL&amp;1866'FEL</t>
  </si>
  <si>
    <t>26"@ 67'</t>
  </si>
  <si>
    <t>20"@ 480'</t>
  </si>
  <si>
    <t>0-??(10 sks cmnt)</t>
  </si>
  <si>
    <t>0902110007</t>
  </si>
  <si>
    <t>OG_40</t>
  </si>
  <si>
    <t>ST JOE PAPER CO #3</t>
  </si>
  <si>
    <t>1S3 6S 11W</t>
  </si>
  <si>
    <t>29° 59' 30.31436" N</t>
  </si>
  <si>
    <t>85° 19' 58.45552" W</t>
  </si>
  <si>
    <t>2350'FNL&amp;2582'FEL</t>
  </si>
  <si>
    <t>9-5/8"@ 372'</t>
  </si>
  <si>
    <t>320-380,0-??(5sks cmnt)</t>
  </si>
  <si>
    <t>0904510003</t>
  </si>
  <si>
    <t>OG_41</t>
  </si>
  <si>
    <t>BRADFORD</t>
  </si>
  <si>
    <t>TIDE WATER ASSOCIATED OIL CO</t>
  </si>
  <si>
    <t>M F WIGGINS #1</t>
  </si>
  <si>
    <t>4S15 6S 20E</t>
  </si>
  <si>
    <t>29° 58' 15.3489" N</t>
  </si>
  <si>
    <t>82° 17' 2.85871" W</t>
  </si>
  <si>
    <t>16"@ 85'</t>
  </si>
  <si>
    <t>10-3/4"@ 1545'</t>
  </si>
  <si>
    <t>3154-3167</t>
  </si>
  <si>
    <t>3167-3075,1575-1495,1200-1250,0-??(25 sks cmnt)</t>
  </si>
  <si>
    <t>0900710001</t>
  </si>
  <si>
    <t>OG_42</t>
  </si>
  <si>
    <t>GCRC #1</t>
  </si>
  <si>
    <t>4S29 48S 30E</t>
  </si>
  <si>
    <t>26° 16' 7.06066" N</t>
  </si>
  <si>
    <t>81° 20' 24.03874" W</t>
  </si>
  <si>
    <t>667'FSL&amp;2038'FEL</t>
  </si>
  <si>
    <t>20"@ 116'</t>
  </si>
  <si>
    <t>13-3/8"@ 1644'</t>
  </si>
  <si>
    <t>9-5/8"@ 5727</t>
  </si>
  <si>
    <t>7"@ 11597</t>
  </si>
  <si>
    <t>9785-9850</t>
  </si>
  <si>
    <t>11445-11626,5247-5520,1750-2080,0-26</t>
  </si>
  <si>
    <t>0902100001</t>
  </si>
  <si>
    <t>Sunniland Field discovery well. First oil in Florida.</t>
  </si>
  <si>
    <t>OG_43</t>
  </si>
  <si>
    <t>MAGNOLIA PETROLEUM CORP</t>
  </si>
  <si>
    <t>STATE BLOCK 5-B #1-A</t>
  </si>
  <si>
    <t>OFFSHORE</t>
  </si>
  <si>
    <t>29° 41' 19.18018" N</t>
  </si>
  <si>
    <t>85° 7' 12.38478" W</t>
  </si>
  <si>
    <t>16"@ 57'</t>
  </si>
  <si>
    <t>13-3/8"@ 332'</t>
  </si>
  <si>
    <t>9-5/8"@ 1646'</t>
  </si>
  <si>
    <t>3490-7019</t>
  </si>
  <si>
    <t>1550-1496,60-SEA FLOOR</t>
  </si>
  <si>
    <t>0903710005</t>
  </si>
  <si>
    <t xml:space="preserve">Original hole junked and plugged. Rig skidded. </t>
  </si>
  <si>
    <t>OG_44</t>
  </si>
  <si>
    <t>J W CAMPBELL #1</t>
  </si>
  <si>
    <t>3S8 11S 28E</t>
  </si>
  <si>
    <t>29° 33' 9.04241" N</t>
  </si>
  <si>
    <t>81° 29' 56.86336" W</t>
  </si>
  <si>
    <t>26"@ 59'</t>
  </si>
  <si>
    <t>20"@ 171'</t>
  </si>
  <si>
    <t>13-3/8"@ 1814'</t>
  </si>
  <si>
    <t>9-5/8"@ 2968</t>
  </si>
  <si>
    <t>775-4644</t>
  </si>
  <si>
    <t>4268-4292</t>
  </si>
  <si>
    <t>3338 sw</t>
  </si>
  <si>
    <t>2868-3068,1950-2000,0-30</t>
  </si>
  <si>
    <t>0903510002</t>
  </si>
  <si>
    <t>OG_45</t>
  </si>
  <si>
    <t>SUWANNEE</t>
  </si>
  <si>
    <t>EARL ODUM #1</t>
  </si>
  <si>
    <t>TL</t>
  </si>
  <si>
    <t>1S31 5S 15E</t>
  </si>
  <si>
    <t>30° 0' 45.6728" N</t>
  </si>
  <si>
    <t>82° 50' 46.49323" W</t>
  </si>
  <si>
    <t>814'FNL&amp;614'FEL</t>
  </si>
  <si>
    <t>22.5"@ 24'</t>
  </si>
  <si>
    <t>16"@ 44'</t>
  </si>
  <si>
    <t>13-3/8"@ 62'</t>
  </si>
  <si>
    <t>9-5/8"@ 1282</t>
  </si>
  <si>
    <t>2897-3157</t>
  </si>
  <si>
    <t>2890-2824,1320-1260,10-0</t>
  </si>
  <si>
    <t>0912110001</t>
  </si>
  <si>
    <t>OG_46</t>
  </si>
  <si>
    <t>LCC #3</t>
  </si>
  <si>
    <t>26° 21' 18.16144" N</t>
  </si>
  <si>
    <t>81° 25' 6.21599" W</t>
  </si>
  <si>
    <t xml:space="preserve">660'FSL&amp;660'FEL </t>
  </si>
  <si>
    <t>30" @ 62'</t>
  </si>
  <si>
    <t>20"@ 1109'</t>
  </si>
  <si>
    <t>9-5/8"@ 4173</t>
  </si>
  <si>
    <t>7"@ 11943</t>
  </si>
  <si>
    <t>9764-11948</t>
  </si>
  <si>
    <t>10312-11891</t>
  </si>
  <si>
    <t>30' oil</t>
  </si>
  <si>
    <t>11070 sw</t>
  </si>
  <si>
    <t>10326-11888</t>
  </si>
  <si>
    <t>9930-10314,4045-4225,1107-1129,0-??(10 sks cmnt)</t>
  </si>
  <si>
    <t>0902110008</t>
  </si>
  <si>
    <t>OG_47</t>
  </si>
  <si>
    <t>PALM BEACH</t>
  </si>
  <si>
    <t>TUCSON CORP #1</t>
  </si>
  <si>
    <t>3S35 43S 40E</t>
  </si>
  <si>
    <t>26° 40' 52.09032" N</t>
  </si>
  <si>
    <t>80° 19' 45.82391" W</t>
  </si>
  <si>
    <t xml:space="preserve">2441'FSL&amp;660'FWL </t>
  </si>
  <si>
    <t>30" @ 41'</t>
  </si>
  <si>
    <t>26" @ 177'</t>
  </si>
  <si>
    <t>18-5/8" @ 871'</t>
  </si>
  <si>
    <t>9-5/8" @ 5659'</t>
  </si>
  <si>
    <t>3115-13360</t>
  </si>
  <si>
    <t>8813-8815</t>
  </si>
  <si>
    <t>6120' sw</t>
  </si>
  <si>
    <t>13350-13150, 5539-5689, 0-??(25 sks cmnt)</t>
  </si>
  <si>
    <t>0909910001</t>
  </si>
  <si>
    <t>OG_48</t>
  </si>
  <si>
    <t>E L MCMILLAN #1</t>
  </si>
  <si>
    <t>3S25 4S 11W</t>
  </si>
  <si>
    <t>30° 5' 59.30099" N</t>
  </si>
  <si>
    <t>85° 18' 7.05884" W</t>
  </si>
  <si>
    <t>9-5/8"@ 260</t>
  </si>
  <si>
    <t>211-??(20 sks cmnt),0-??(10 sks cmnt)</t>
  </si>
  <si>
    <t>0904510004</t>
  </si>
  <si>
    <t>OG_49</t>
  </si>
  <si>
    <t>ALACHUA</t>
  </si>
  <si>
    <t>R H CATO #1</t>
  </si>
  <si>
    <t>3S23 8S 18E</t>
  </si>
  <si>
    <t>29° 46' 21.37573" N</t>
  </si>
  <si>
    <t>82° 29' 14.88962" W</t>
  </si>
  <si>
    <t>16"@ 59'</t>
  </si>
  <si>
    <t>10-3/4"@ 1560'</t>
  </si>
  <si>
    <t>1203-3150</t>
  </si>
  <si>
    <t>3030-2940,1610-1500,15-0</t>
  </si>
  <si>
    <t>0900110001</t>
  </si>
  <si>
    <t>OG_50</t>
  </si>
  <si>
    <t>CLAY</t>
  </si>
  <si>
    <t>FOREMOST PROPERTIES #1</t>
  </si>
  <si>
    <t>3S4 6S 25E</t>
  </si>
  <si>
    <t>30° 0' 10.3856" N</t>
  </si>
  <si>
    <t>81° 48' 32.0062" W</t>
  </si>
  <si>
    <t>1980'FSL&amp;1980'FWL</t>
  </si>
  <si>
    <t>20"@ 110'</t>
  </si>
  <si>
    <t>13-3/8"@ 517'</t>
  </si>
  <si>
    <t>9-5/8"@ 2920</t>
  </si>
  <si>
    <t>727-5862</t>
  </si>
  <si>
    <t>3021-2821,467-517,50-0</t>
  </si>
  <si>
    <t>0901910001</t>
  </si>
  <si>
    <t>OG_51</t>
  </si>
  <si>
    <t>GCRC #5</t>
  </si>
  <si>
    <t>3S20 48S 30E</t>
  </si>
  <si>
    <t>26° 16' 58.9044" N</t>
  </si>
  <si>
    <t>81° 20' 56.25236" W</t>
  </si>
  <si>
    <t>13-3/8"@ 1009.65'</t>
  </si>
  <si>
    <t>9-5/8" @ 5401.18'</t>
  </si>
  <si>
    <t>5-1\2" @ 11560'</t>
  </si>
  <si>
    <t>2"@ 11560</t>
  </si>
  <si>
    <t>9800-11578</t>
  </si>
  <si>
    <t>11562-11578</t>
  </si>
  <si>
    <t>518 BOPD</t>
  </si>
  <si>
    <t>50.2MCFPD</t>
  </si>
  <si>
    <t>51BWPD</t>
  </si>
  <si>
    <t>10880-11381,4425-4782,0-1852</t>
  </si>
  <si>
    <t>0902110009</t>
  </si>
  <si>
    <t>OG_52</t>
  </si>
  <si>
    <t>J A PHIFER #1</t>
  </si>
  <si>
    <t>1S24 9S 21E</t>
  </si>
  <si>
    <t>29° 41' 48.46085" N</t>
  </si>
  <si>
    <t>82° 9' 42.60949" W</t>
  </si>
  <si>
    <t>1983'FNL&amp;1979'FEL</t>
  </si>
  <si>
    <t>16"@ 197</t>
  </si>
  <si>
    <t>10-3/4"@ 1378</t>
  </si>
  <si>
    <t>2900-3228</t>
  </si>
  <si>
    <t>3086-2993,1327-1428,900-950,0-20</t>
  </si>
  <si>
    <t>0900110002</t>
  </si>
  <si>
    <t>OG_53</t>
  </si>
  <si>
    <t>MARION</t>
  </si>
  <si>
    <t>H N CAMP #1</t>
  </si>
  <si>
    <t>1S16 16S 23E</t>
  </si>
  <si>
    <t>29° 6' 1.63796" N</t>
  </si>
  <si>
    <t>82° 0' 36.83714" W</t>
  </si>
  <si>
    <t>20"@ 37</t>
  </si>
  <si>
    <t>16"@ 91</t>
  </si>
  <si>
    <t>10-3/4"@ 1839</t>
  </si>
  <si>
    <t>1838-4623.5</t>
  </si>
  <si>
    <t>4125-4112</t>
  </si>
  <si>
    <t>4044-4090,1869-1829,10-0</t>
  </si>
  <si>
    <t>0908310001</t>
  </si>
  <si>
    <t>OG_54</t>
  </si>
  <si>
    <t>J PARKER #1</t>
  </si>
  <si>
    <t>4S33 7S 19E</t>
  </si>
  <si>
    <t>29° 50' 3.24478" N</t>
  </si>
  <si>
    <t>82° 24' 58.04017" W</t>
  </si>
  <si>
    <t xml:space="preserve">1982'FSL&amp;1979'FEL </t>
  </si>
  <si>
    <t>16"@ 69'</t>
  </si>
  <si>
    <t>10-3/4"@ 1672</t>
  </si>
  <si>
    <t>2850-3220</t>
  </si>
  <si>
    <t>2800-2710,1700-1600,0-??(15 sks cmnt)</t>
  </si>
  <si>
    <t>0900110003</t>
  </si>
  <si>
    <t>OG_55</t>
  </si>
  <si>
    <t>GCRC #10</t>
  </si>
  <si>
    <t>4S20 48S 30E</t>
  </si>
  <si>
    <t>26° 17' 5.29616" N</t>
  </si>
  <si>
    <t>81° 20' 9.44068" W</t>
  </si>
  <si>
    <t>1320'FSL&amp;660'FEL</t>
  </si>
  <si>
    <t>24"@ 82'</t>
  </si>
  <si>
    <t>13-3/8"@997'</t>
  </si>
  <si>
    <t>9-5/8" @ 5310'</t>
  </si>
  <si>
    <t>5-1\2" @ 11566'</t>
  </si>
  <si>
    <t>2"@ 11562</t>
  </si>
  <si>
    <t>11390-11573</t>
  </si>
  <si>
    <t>11554-11574</t>
  </si>
  <si>
    <t>175 BOPD</t>
  </si>
  <si>
    <t>15.2MCFPD</t>
  </si>
  <si>
    <t>1.75 BWPD</t>
  </si>
  <si>
    <t>11592-11605'</t>
  </si>
  <si>
    <t>8500-11606,0-150</t>
  </si>
  <si>
    <t>0902110010</t>
  </si>
  <si>
    <t>4" liner 8735-11678'</t>
  </si>
  <si>
    <t>OG_56</t>
  </si>
  <si>
    <t>BAKER</t>
  </si>
  <si>
    <t>CUMMER LIME &amp; MANUF CO #1</t>
  </si>
  <si>
    <t>3S36 3S 21E</t>
  </si>
  <si>
    <t>30° 11' 17.76386" N</t>
  </si>
  <si>
    <t>82° 9' 51.269" W</t>
  </si>
  <si>
    <t>860'FSL&amp;660'FWL</t>
  </si>
  <si>
    <t>0900310001</t>
  </si>
  <si>
    <t>OG_57</t>
  </si>
  <si>
    <t>J H TILLIS #1</t>
  </si>
  <si>
    <t>3S28 2S 15E</t>
  </si>
  <si>
    <t>30° 16' 47.03912" N</t>
  </si>
  <si>
    <t>82° 49' 18.7316" W</t>
  </si>
  <si>
    <t>20"@ 56'</t>
  </si>
  <si>
    <t>16"@ 109'</t>
  </si>
  <si>
    <t>10-3/4"@ 1450'</t>
  </si>
  <si>
    <t>3092-3568</t>
  </si>
  <si>
    <t>3571-3136</t>
  </si>
  <si>
    <t>3332-3304,3100-3050,1475-1425,0-???(5 sks cmnt)</t>
  </si>
  <si>
    <t>0912110002</t>
  </si>
  <si>
    <t>OG_58</t>
  </si>
  <si>
    <t>PUTNAM</t>
  </si>
  <si>
    <t>Q I ROBERTS #1</t>
  </si>
  <si>
    <t>2S19 9S 25E</t>
  </si>
  <si>
    <t>29° 42' 9.22288" N</t>
  </si>
  <si>
    <t>81° 50' 37.64162" W</t>
  </si>
  <si>
    <t>660'FNL&amp;660'FWL</t>
  </si>
  <si>
    <t>20"@ 76'</t>
  </si>
  <si>
    <t>16"@ 281'</t>
  </si>
  <si>
    <t>10-3/4"@ 1712</t>
  </si>
  <si>
    <t>3324-3326</t>
  </si>
  <si>
    <t>1740-1660,1050-1100,0-???(25 sks cmnt)</t>
  </si>
  <si>
    <t>0910710001</t>
  </si>
  <si>
    <t>OG_59</t>
  </si>
  <si>
    <t>HUNT OIL CO</t>
  </si>
  <si>
    <t>H L HUNT #1</t>
  </si>
  <si>
    <t>1S21 1N 20E</t>
  </si>
  <si>
    <t>30° 29' 13.46071" N</t>
  </si>
  <si>
    <t>82° 18' 41.72756" W</t>
  </si>
  <si>
    <t>13-3/8"@ 67'</t>
  </si>
  <si>
    <t>9-5/8"@ 1000'</t>
  </si>
  <si>
    <t>998-3349</t>
  </si>
  <si>
    <t>NO</t>
  </si>
  <si>
    <t>1075-975, 50-0</t>
  </si>
  <si>
    <t>0900310002</t>
  </si>
  <si>
    <t>OG_60</t>
  </si>
  <si>
    <t>OKALOOSA</t>
  </si>
  <si>
    <t>R T ADAMS</t>
  </si>
  <si>
    <t>B H HART JR #1</t>
  </si>
  <si>
    <t>1S5 4N 22W</t>
  </si>
  <si>
    <t>30° 52' 43.50137" N</t>
  </si>
  <si>
    <t>86° 27' 33.70252" W</t>
  </si>
  <si>
    <t>660'FNL&amp;660'FEL</t>
  </si>
  <si>
    <t>10-3/4"@ 108'</t>
  </si>
  <si>
    <t>5023-5028</t>
  </si>
  <si>
    <t>55-105,0-20</t>
  </si>
  <si>
    <t>0909110001</t>
  </si>
  <si>
    <t>OG_61</t>
  </si>
  <si>
    <t>HOLMES</t>
  </si>
  <si>
    <t>S W BREEDING</t>
  </si>
  <si>
    <t>N E COATS #1</t>
  </si>
  <si>
    <t>2S25 7N 15W</t>
  </si>
  <si>
    <t>30° 59' 11.03878" N</t>
  </si>
  <si>
    <t>85° 41' 29.7541" W</t>
  </si>
  <si>
    <t>1980'FNL&amp;2490'FWL</t>
  </si>
  <si>
    <t>9-5/8"@ 833'</t>
  </si>
  <si>
    <t>2963-3670</t>
  </si>
  <si>
    <t>25 sks cmnt@3646,25 sks cmnt@ 11885</t>
  </si>
  <si>
    <t>0905910001</t>
  </si>
  <si>
    <t>OG_62</t>
  </si>
  <si>
    <t>HARDEE</t>
  </si>
  <si>
    <t>B T KEEN #1</t>
  </si>
  <si>
    <t>3S23 35S 23E</t>
  </si>
  <si>
    <t>27° 24' 46.89904" N</t>
  </si>
  <si>
    <t>81° 59' 3.73286" W</t>
  </si>
  <si>
    <t xml:space="preserve">650'FSL&amp;3500'FEL </t>
  </si>
  <si>
    <t>26"@ 96'</t>
  </si>
  <si>
    <t>13-3/8"@ 695'</t>
  </si>
  <si>
    <t>9-5/8"@ 5730</t>
  </si>
  <si>
    <t>1876-11932</t>
  </si>
  <si>
    <t>9500-9400,5830-5630,645-695,0-50</t>
  </si>
  <si>
    <t>0904910001</t>
  </si>
  <si>
    <t xml:space="preserve">Casing salvaged and replugged 7-28-1948 </t>
  </si>
  <si>
    <t>OG_63</t>
  </si>
  <si>
    <t>GCRC #11</t>
  </si>
  <si>
    <t>26° 17' 15.82209" N</t>
  </si>
  <si>
    <t>81° 20' 56.79592" W</t>
  </si>
  <si>
    <t>2323'FSL&amp;660'FWL</t>
  </si>
  <si>
    <t>20"@ 84.4'</t>
  </si>
  <si>
    <t>13-3/8"@ 1013.18'</t>
  </si>
  <si>
    <t>9-5/8" @ 5090'</t>
  </si>
  <si>
    <t>5-1\2" @ 11550'</t>
  </si>
  <si>
    <t>2"@ 11549</t>
  </si>
  <si>
    <t>11443-11573</t>
  </si>
  <si>
    <t>11393-11573</t>
  </si>
  <si>
    <t>125 BOPD</t>
  </si>
  <si>
    <t>11.2 MCFPD</t>
  </si>
  <si>
    <t>11550-11573</t>
  </si>
  <si>
    <t>9994-11525,9790-9990,4805-5040,0-1823</t>
  </si>
  <si>
    <t>0902110011</t>
  </si>
  <si>
    <t>OG_64</t>
  </si>
  <si>
    <t>GCRC #B-1</t>
  </si>
  <si>
    <t>2S23 48S 28E</t>
  </si>
  <si>
    <t>26° 17' 30.67494" N</t>
  </si>
  <si>
    <t>81° 29' 25.8153" W</t>
  </si>
  <si>
    <t>659'FNL&amp;1973'FWL</t>
  </si>
  <si>
    <t>30"@49'</t>
  </si>
  <si>
    <t>13-3/8"@ 1112'</t>
  </si>
  <si>
    <t>9-5/8" @ 5110'</t>
  </si>
  <si>
    <t>5451-12220</t>
  </si>
  <si>
    <t>5441-5451</t>
  </si>
  <si>
    <t>11506-11706,5010-5210,400-452,0-52</t>
  </si>
  <si>
    <t>0902110012</t>
  </si>
  <si>
    <t>OG_65</t>
  </si>
  <si>
    <t>GEEHEW LINTON #1</t>
  </si>
  <si>
    <t>1S30 3N 17W</t>
  </si>
  <si>
    <t>30° 38' 38.2371" N</t>
  </si>
  <si>
    <t>85° 58' 21.87595" W</t>
  </si>
  <si>
    <t>650'FNL&amp;550'FWL</t>
  </si>
  <si>
    <t>oil drums@46'</t>
  </si>
  <si>
    <t>13-3/8"@ 292'</t>
  </si>
  <si>
    <t>9-5/8"@ 979'</t>
  </si>
  <si>
    <t>3830-5967</t>
  </si>
  <si>
    <t>3735-3803,950-1015,0-50</t>
  </si>
  <si>
    <t>0913110003</t>
  </si>
  <si>
    <t>OG_66</t>
  </si>
  <si>
    <t>COASTAL PETROLEUM COMPANY</t>
  </si>
  <si>
    <t>JAMES B &amp; JULIAN P RAGLAND #1</t>
  </si>
  <si>
    <t>3S16 15S 13E</t>
  </si>
  <si>
    <t>29° 10' 22.34842" N</t>
  </si>
  <si>
    <t>83° 1' 5.50322" W</t>
  </si>
  <si>
    <t xml:space="preserve">1650'FSL&amp;990'FWL </t>
  </si>
  <si>
    <t>18-5/8"@ 40'</t>
  </si>
  <si>
    <t>13-3/8"@ 305'</t>
  </si>
  <si>
    <t>1860-5850</t>
  </si>
  <si>
    <t>4260-4210,1900-1850,325-275,10-0(5 sks cmnt)</t>
  </si>
  <si>
    <t>0907510003</t>
  </si>
  <si>
    <t>OG_67</t>
  </si>
  <si>
    <t>R L HENDERSON TRUSTEE ETUX #1</t>
  </si>
  <si>
    <t>1S20 4S 11E</t>
  </si>
  <si>
    <t>30° 7' 40.81584" N</t>
  </si>
  <si>
    <t>83° 14' 4.07011" W</t>
  </si>
  <si>
    <t>660'FNL&amp;860'FEL</t>
  </si>
  <si>
    <t>24"@ 58'</t>
  </si>
  <si>
    <t>20"@ 184'</t>
  </si>
  <si>
    <t>13-3/8"@ 549'</t>
  </si>
  <si>
    <t>9-5/8"@ 2063'</t>
  </si>
  <si>
    <t>449 - 4235'</t>
  </si>
  <si>
    <t>3194-3371</t>
  </si>
  <si>
    <t>2163-1963,25-0</t>
  </si>
  <si>
    <t>0906710002</t>
  </si>
  <si>
    <t>Casing salvaged and replugged 8-29-1948 (499'-549',0-50')</t>
  </si>
  <si>
    <t>OG_68</t>
  </si>
  <si>
    <t>D E L BYERS</t>
  </si>
  <si>
    <t>EARL EDWARDS #1</t>
  </si>
  <si>
    <t>3S28 5N 21W</t>
  </si>
  <si>
    <t>30° 53' 50.55432" N</t>
  </si>
  <si>
    <t>86° 21' 12.93062" W</t>
  </si>
  <si>
    <t>1320'FSL&amp;1320'FWL</t>
  </si>
  <si>
    <t>3992-4806</t>
  </si>
  <si>
    <t>0-108</t>
  </si>
  <si>
    <t>0913110004</t>
  </si>
  <si>
    <t>OG_69</t>
  </si>
  <si>
    <t>CARL M BRUKENFELD SYNDICATE</t>
  </si>
  <si>
    <t>LEVY-LENNON SYNDICATE INC #1</t>
  </si>
  <si>
    <t>3S5 14S 16E</t>
  </si>
  <si>
    <t>29° 17' 30.82049" N</t>
  </si>
  <si>
    <t>82° 43' 59.94109" W</t>
  </si>
  <si>
    <t>2310'FSL&amp;2310'FWL</t>
  </si>
  <si>
    <t>12"@ 116'</t>
  </si>
  <si>
    <t>8"@ 329'</t>
  </si>
  <si>
    <t>6"@ 1567'</t>
  </si>
  <si>
    <t>4"@ 2110'</t>
  </si>
  <si>
    <t>2173-2100,1800-1743,35-0</t>
  </si>
  <si>
    <t>0907510004</t>
  </si>
  <si>
    <t>Replugged by FDEP 3/2003</t>
  </si>
  <si>
    <t>OG_70</t>
  </si>
  <si>
    <t>HARDWAY CONTRACTING CO #1</t>
  </si>
  <si>
    <t>4S31 2N 9W</t>
  </si>
  <si>
    <t>30° 31' 32.30918" N</t>
  </si>
  <si>
    <t>85° 10' 17.90569" W</t>
  </si>
  <si>
    <t>1980'FSL&amp;1980'FEL</t>
  </si>
  <si>
    <t>??@30'</t>
  </si>
  <si>
    <t>10-3/4"@ 81'</t>
  </si>
  <si>
    <t>3377-4128</t>
  </si>
  <si>
    <t>0-81</t>
  </si>
  <si>
    <t>0901310006</t>
  </si>
  <si>
    <t>OG_71</t>
  </si>
  <si>
    <t>WASHINGTON</t>
  </si>
  <si>
    <t>HUBERT A KIMBROUGH ETAL #1</t>
  </si>
  <si>
    <t>2S5 2N 16W</t>
  </si>
  <si>
    <t>30° 36' 39.62927" N</t>
  </si>
  <si>
    <t>85° 51' 58.72064" W</t>
  </si>
  <si>
    <t xml:space="preserve">1980'FNL&amp;1980'FWL </t>
  </si>
  <si>
    <t>18"@ 40'</t>
  </si>
  <si>
    <t>10-3/4"@337'</t>
  </si>
  <si>
    <t>3750-4456</t>
  </si>
  <si>
    <t>287-337,0-25</t>
  </si>
  <si>
    <t>0913310001</t>
  </si>
  <si>
    <t>OG_72</t>
  </si>
  <si>
    <t>J R SEALY #1</t>
  </si>
  <si>
    <t>1S12 2S 18W</t>
  </si>
  <si>
    <t>30° 25' 34.06138" N</t>
  </si>
  <si>
    <t>85° 59' 52.43892" W</t>
  </si>
  <si>
    <t xml:space="preserve">660'FNL&amp;1980'FEL </t>
  </si>
  <si>
    <t>16"@ 120'</t>
  </si>
  <si>
    <t>4192-4995</t>
  </si>
  <si>
    <t>312-381,0-5</t>
  </si>
  <si>
    <t>0913110005</t>
  </si>
  <si>
    <t>OG_73</t>
  </si>
  <si>
    <t>SATTERLEE &amp; ADAMS DRLG CO</t>
  </si>
  <si>
    <t>DANIEL F HORNE #1</t>
  </si>
  <si>
    <t>2S16 3N 13W</t>
  </si>
  <si>
    <t>30° 40' 4.13" N</t>
  </si>
  <si>
    <t>85° 32' 43.24" W</t>
  </si>
  <si>
    <t xml:space="preserve">660'FNL&amp;1980'FWL </t>
  </si>
  <si>
    <t>??@60'</t>
  </si>
  <si>
    <t>3393-4151</t>
  </si>
  <si>
    <t>400-450,0-10</t>
  </si>
  <si>
    <t>0913310002</t>
  </si>
  <si>
    <t>OG_74</t>
  </si>
  <si>
    <t>30° 34' 29.87717" N</t>
  </si>
  <si>
    <t>86° 1' 14.41304" W</t>
  </si>
  <si>
    <t xml:space="preserve">560'FSL&amp;660'FWL </t>
  </si>
  <si>
    <t>10-3/4"@41'</t>
  </si>
  <si>
    <t>2345-2360</t>
  </si>
  <si>
    <t>490-540,0-15</t>
  </si>
  <si>
    <t>0913110006</t>
  </si>
  <si>
    <t>OG_75</t>
  </si>
  <si>
    <t>PINELLAS</t>
  </si>
  <si>
    <t>ED C WRIGHT #1</t>
  </si>
  <si>
    <t>SL GRN</t>
  </si>
  <si>
    <t>3S7 30S 17E</t>
  </si>
  <si>
    <t>27° 52' 51.69958" N</t>
  </si>
  <si>
    <t>82° 38' 17.95434" W</t>
  </si>
  <si>
    <t>574.5'FSL&amp;2516'FWL</t>
  </si>
  <si>
    <t>18-5/8"@ 139'</t>
  </si>
  <si>
    <t>13-3/8"@ 709'</t>
  </si>
  <si>
    <t>9-5/8"@ 3596'</t>
  </si>
  <si>
    <t>7100-10070</t>
  </si>
  <si>
    <t>3596-2885,709-571,139-0</t>
  </si>
  <si>
    <t>0910310002</t>
  </si>
  <si>
    <t>OG_76</t>
  </si>
  <si>
    <t>GCRC #12</t>
  </si>
  <si>
    <t>3S21 48S 30E</t>
  </si>
  <si>
    <t>26° 17' 0.66412" N</t>
  </si>
  <si>
    <t>81° 19' 40.18429" W</t>
  </si>
  <si>
    <t>667'FSL&amp;2005'FWL</t>
  </si>
  <si>
    <t>20"@ 82'</t>
  </si>
  <si>
    <t>13-3/8"@991'</t>
  </si>
  <si>
    <t>9-5/8" @ 5021.74'</t>
  </si>
  <si>
    <t>5420-11709</t>
  </si>
  <si>
    <t>9695-11629</t>
  </si>
  <si>
    <t>20' oil</t>
  </si>
  <si>
    <t>7270' sw</t>
  </si>
  <si>
    <t>11219-11419,4921-5121,400-450,0-??(10 sks cmnt)</t>
  </si>
  <si>
    <t>0902110013</t>
  </si>
  <si>
    <t>OG_77</t>
  </si>
  <si>
    <t>COLUMBIA</t>
  </si>
  <si>
    <t>J P CONE ETUX #1</t>
  </si>
  <si>
    <t>2S22 1N 17E</t>
  </si>
  <si>
    <t>30° 28' 44.76097" N</t>
  </si>
  <si>
    <t>82° 36' 9.00738" W</t>
  </si>
  <si>
    <t>26"@ 84'</t>
  </si>
  <si>
    <t>20"@ 180'</t>
  </si>
  <si>
    <t>13-3/8"@ 1425'</t>
  </si>
  <si>
    <t>9-5/8"@ 1359'</t>
  </si>
  <si>
    <t>1800-4439</t>
  </si>
  <si>
    <t>3269-3444</t>
  </si>
  <si>
    <t>1425-1375,50-0</t>
  </si>
  <si>
    <t>0902310001</t>
  </si>
  <si>
    <t>OG_78</t>
  </si>
  <si>
    <t>GRACE DRLG CO</t>
  </si>
  <si>
    <t>RETAIL LUMBER CO #1</t>
  </si>
  <si>
    <t>1S2 15S 30E</t>
  </si>
  <si>
    <t>29° 13' 48.76136" N</t>
  </si>
  <si>
    <t>81° 15' 57.00823" W</t>
  </si>
  <si>
    <t>1320'FNL&amp;1370'FEL</t>
  </si>
  <si>
    <t>24"@ 22'</t>
  </si>
  <si>
    <t>10-3/4"@ 1827'</t>
  </si>
  <si>
    <t>7-5/8"@ 2308</t>
  </si>
  <si>
    <t>2401'-4272'</t>
  </si>
  <si>
    <t>4750-4700,2325-2275,10-0</t>
  </si>
  <si>
    <t>0912710002</t>
  </si>
  <si>
    <t>Rigged skidded 50 West' after original hole junked</t>
  </si>
  <si>
    <t>OG_79</t>
  </si>
  <si>
    <t>ALFORD BROTHERS #1-A</t>
  </si>
  <si>
    <t>3S31 2N 13W</t>
  </si>
  <si>
    <t>30° 31' 37.82413" N</t>
  </si>
  <si>
    <t>85° 35' 4.27524" W</t>
  </si>
  <si>
    <t>660'FSL&amp;810'FWL</t>
  </si>
  <si>
    <t>16"@ 149'</t>
  </si>
  <si>
    <t>10-3/4"@539'</t>
  </si>
  <si>
    <t>3709-4529</t>
  </si>
  <si>
    <t>489-539,0-25</t>
  </si>
  <si>
    <t>0913310003</t>
  </si>
  <si>
    <t>Rigged skidded 150 east' after original hole cratered</t>
  </si>
  <si>
    <t>OG_80</t>
  </si>
  <si>
    <t>GCRC #13</t>
  </si>
  <si>
    <t>2S19 48S 30E</t>
  </si>
  <si>
    <t>26° 17' 37.40718" N</t>
  </si>
  <si>
    <t>81° 21' 55.51403" W</t>
  </si>
  <si>
    <t>20"@ 75.8'</t>
  </si>
  <si>
    <t>13-3/8"@998'</t>
  </si>
  <si>
    <t>9-5/8"@ 4241.51</t>
  </si>
  <si>
    <t>5-1\2" @ 11519.32'</t>
  </si>
  <si>
    <t>2"@ 11498</t>
  </si>
  <si>
    <t>11500-11572</t>
  </si>
  <si>
    <t>11519-11572.5</t>
  </si>
  <si>
    <t>395.37 BOPD</t>
  </si>
  <si>
    <t>49 MCFPD</t>
  </si>
  <si>
    <t>1.6 BWPD</t>
  </si>
  <si>
    <t>OH 11553-11574</t>
  </si>
  <si>
    <t>11574-9200, 4335-4142, 1102-898, 30-0</t>
  </si>
  <si>
    <t>0902110014</t>
  </si>
  <si>
    <t>3-1/2"@11553.5 csg</t>
  </si>
  <si>
    <t>OG_81</t>
  </si>
  <si>
    <t>PEAVY-WILSON LUMBER CO #2A</t>
  </si>
  <si>
    <t>4S27 25S 34E</t>
  </si>
  <si>
    <t>28° 16' 29.27046" N</t>
  </si>
  <si>
    <t>80° 54' 13.20336" W</t>
  </si>
  <si>
    <t>350'FSL&amp;2557'FWL</t>
  </si>
  <si>
    <t>23"@ 36'</t>
  </si>
  <si>
    <t>13-3/8"@ 226'</t>
  </si>
  <si>
    <t>9-5/8"@ 947'</t>
  </si>
  <si>
    <t>7-5/8"@ 1307'</t>
  </si>
  <si>
    <t>1373-1237,0-???(10 sks cmnt)</t>
  </si>
  <si>
    <t>0909710003</t>
  </si>
  <si>
    <t>Rigged skidded 150' north after original hole junked</t>
  </si>
  <si>
    <t>OG_82</t>
  </si>
  <si>
    <t>LTCLC #B-1</t>
  </si>
  <si>
    <t>4S13 48S 29E</t>
  </si>
  <si>
    <t>26° 17' 50.48563" N</t>
  </si>
  <si>
    <t>81° 22' 10.35818" W</t>
  </si>
  <si>
    <t>660'FSL&amp;660'FEL</t>
  </si>
  <si>
    <t>13-3/8"@ 1013'</t>
  </si>
  <si>
    <t>9-5/8" @ 5040.79'</t>
  </si>
  <si>
    <t>2"@ 11577</t>
  </si>
  <si>
    <t>5425-11583</t>
  </si>
  <si>
    <t>11480-11584</t>
  </si>
  <si>
    <t>136.5 BOPD</t>
  </si>
  <si>
    <t>3.7 BSWPD</t>
  </si>
  <si>
    <t>OH 11550-11588</t>
  </si>
  <si>
    <t>115880-11188, 3834-3394, 1918-351, 200-5</t>
  </si>
  <si>
    <t>0902110015</t>
  </si>
  <si>
    <t>OG_83</t>
  </si>
  <si>
    <t>D E HUGHES</t>
  </si>
  <si>
    <t>CLARA MCDONALD #1</t>
  </si>
  <si>
    <t>2S7 2N 5W</t>
  </si>
  <si>
    <t>30° 35' 22.69997" N</t>
  </si>
  <si>
    <t>84° 46' 51.24234" W</t>
  </si>
  <si>
    <t>741'FNL&amp;636'FWL</t>
  </si>
  <si>
    <t>16"@ 121'</t>
  </si>
  <si>
    <t>3333-3858</t>
  </si>
  <si>
    <t>1450-1350,146-96,5-0</t>
  </si>
  <si>
    <t>0903910002</t>
  </si>
  <si>
    <t>OG_84</t>
  </si>
  <si>
    <t>S P BORDEN</t>
  </si>
  <si>
    <t>GLEN MOORE #1</t>
  </si>
  <si>
    <t>2S15 5N 18W</t>
  </si>
  <si>
    <t>30° 55' 57.35183" N</t>
  </si>
  <si>
    <t>86° 2' 1.27428" W</t>
  </si>
  <si>
    <t>1980'FNL&amp;660'FWL</t>
  </si>
  <si>
    <t>10-3/4"@123'</t>
  </si>
  <si>
    <t>2821-4202</t>
  </si>
  <si>
    <t>400-450,0-15</t>
  </si>
  <si>
    <t>0905910002</t>
  </si>
  <si>
    <t>OG_85</t>
  </si>
  <si>
    <t>TAYLOR</t>
  </si>
  <si>
    <t>G H HODGES #1</t>
  </si>
  <si>
    <t>1S12 5S 6E</t>
  </si>
  <si>
    <t>30° 3' 56.16277" N</t>
  </si>
  <si>
    <t>83° 40' 27.83809" W</t>
  </si>
  <si>
    <t>1122'FNL&amp;661'FEL</t>
  </si>
  <si>
    <t>26"@ 60'</t>
  </si>
  <si>
    <t>13-3/8"@ 1519'</t>
  </si>
  <si>
    <t>2095-6254</t>
  </si>
  <si>
    <t>3640-3425</t>
  </si>
  <si>
    <t>6162-6062,1570-1470,250-216</t>
  </si>
  <si>
    <t>0912310001</t>
  </si>
  <si>
    <t>OG_86</t>
  </si>
  <si>
    <t>GCRC #C-1</t>
  </si>
  <si>
    <t>3S21 47S 28E</t>
  </si>
  <si>
    <t>26° 22' 19.90463" N</t>
  </si>
  <si>
    <t>81° 31' 29.31416" W</t>
  </si>
  <si>
    <t>1995'FSL&amp;2001'FWL</t>
  </si>
  <si>
    <t>26"@ 78'</t>
  </si>
  <si>
    <t>13-3/8"@ 1120.05'</t>
  </si>
  <si>
    <t>9-5/8" @ 5013.51'</t>
  </si>
  <si>
    <t>5-1\2" @ 11897.9.'</t>
  </si>
  <si>
    <t>5410-12120</t>
  </si>
  <si>
    <t>11848-11938</t>
  </si>
  <si>
    <t>2324' oil</t>
  </si>
  <si>
    <t>2790' sw</t>
  </si>
  <si>
    <t>11800-11950,5010(110 sks cmnt),250(30 sks cmnt)</t>
  </si>
  <si>
    <t>0902110016</t>
  </si>
  <si>
    <t>OG_87</t>
  </si>
  <si>
    <t>PAUL S OLES &amp; JOHN W NAYLOR</t>
  </si>
  <si>
    <t>FLORIDA POWER CORP #1</t>
  </si>
  <si>
    <t>2S35 2N 3W</t>
  </si>
  <si>
    <t>30° 31' 59.61259" N</t>
  </si>
  <si>
    <t>84° 30' 26.6733" W</t>
  </si>
  <si>
    <t>16"@ 83'</t>
  </si>
  <si>
    <t>3392-3955</t>
  </si>
  <si>
    <t>83'-4'</t>
  </si>
  <si>
    <t>0903910003</t>
  </si>
  <si>
    <t>OG_88</t>
  </si>
  <si>
    <t>R T ADAMS DRLG CO</t>
  </si>
  <si>
    <t>ST JOE PAPER CO #1</t>
  </si>
  <si>
    <t>3S6 1S 6W</t>
  </si>
  <si>
    <t>30° 25' 17.65319" N</t>
  </si>
  <si>
    <t>84° 52' 30.02689" W</t>
  </si>
  <si>
    <t xml:space="preserve">1980'FSL&amp;1980'FWL </t>
  </si>
  <si>
    <t>13-3/8"@ 177'</t>
  </si>
  <si>
    <t>3314-3898</t>
  </si>
  <si>
    <t>560-510,15-0</t>
  </si>
  <si>
    <t>0907710003</t>
  </si>
  <si>
    <t>OG_89</t>
  </si>
  <si>
    <t>WILLIAMS BROTHERS #1</t>
  </si>
  <si>
    <t>3S12 8S 15E</t>
  </si>
  <si>
    <t>29° 47' 54.3187" N</t>
  </si>
  <si>
    <t>82° 46' 23.83493" W</t>
  </si>
  <si>
    <t>660'FNL&amp;926'FEL</t>
  </si>
  <si>
    <t>16"@ 50'</t>
  </si>
  <si>
    <t>10-3/4"@ 86'</t>
  </si>
  <si>
    <t>7-5/8"@ 1106'</t>
  </si>
  <si>
    <t>2996-3366</t>
  </si>
  <si>
    <t>3011-2960,1125-1075,8-0</t>
  </si>
  <si>
    <t>0904110002</t>
  </si>
  <si>
    <t>OG_90</t>
  </si>
  <si>
    <t>J L MCCORD</t>
  </si>
  <si>
    <t>J M STARLING #1-B</t>
  </si>
  <si>
    <t>2S28 3S 12E</t>
  </si>
  <si>
    <t>30° 12' 3.05273" N</t>
  </si>
  <si>
    <t>83° 7' 44.21795" W</t>
  </si>
  <si>
    <t>660'FNL&amp;588'FWL</t>
  </si>
  <si>
    <t>23"@ 29'</t>
  </si>
  <si>
    <t>16"@ 89'</t>
  </si>
  <si>
    <t>10-3/4"@ 1094'</t>
  </si>
  <si>
    <t>2900-2800,1134-1054,5-0</t>
  </si>
  <si>
    <t>0912110003</t>
  </si>
  <si>
    <t>Rigged skidded 25' after original hole cratered</t>
  </si>
  <si>
    <t>OG_91</t>
  </si>
  <si>
    <t>CONSOLIDATED NAVAL STORES #3</t>
  </si>
  <si>
    <t>3S4 27S 32E</t>
  </si>
  <si>
    <t>28° 9' 48.29278" N</t>
  </si>
  <si>
    <t>81° 7' 6.78061" W</t>
  </si>
  <si>
    <t>1278'FSL&amp;1012'FWL</t>
  </si>
  <si>
    <t>23"@ 45'</t>
  </si>
  <si>
    <t>13-3/8"@ 370'</t>
  </si>
  <si>
    <t>9-5/8" @ 1809'</t>
  </si>
  <si>
    <t>5730-5898</t>
  </si>
  <si>
    <t>2244-2126,0-???(10 sks cmnt)</t>
  </si>
  <si>
    <t>0909710004</t>
  </si>
  <si>
    <t>OG_92</t>
  </si>
  <si>
    <t>LTCLC #1</t>
  </si>
  <si>
    <t>2S7 48S 29E</t>
  </si>
  <si>
    <t>26° 19' 18.06197" N</t>
  </si>
  <si>
    <t>81° 27' 30.2044" W</t>
  </si>
  <si>
    <t>668'FNL&amp;2014'FWL</t>
  </si>
  <si>
    <t>20"@ 77'</t>
  </si>
  <si>
    <t>13-3/8"@ 1012'</t>
  </si>
  <si>
    <t>9-5/8"@ 4269</t>
  </si>
  <si>
    <t>11800-11845</t>
  </si>
  <si>
    <t>4000(125 sks cmnt),35 sks cmnt in 13 3/8</t>
  </si>
  <si>
    <t>0902110017</t>
  </si>
  <si>
    <t>OG_93</t>
  </si>
  <si>
    <t>M W SAPP #1A</t>
  </si>
  <si>
    <t>1S24 2S 16E</t>
  </si>
  <si>
    <t>30° 18' 27.35294" N</t>
  </si>
  <si>
    <t>82° 39' 43.27499" W</t>
  </si>
  <si>
    <t>510'FNL&amp;685'FEL</t>
  </si>
  <si>
    <t>16"@56'</t>
  </si>
  <si>
    <t>10-3/4"@183'</t>
  </si>
  <si>
    <t>7-5/8"@ 1344'</t>
  </si>
  <si>
    <t>3048-3303</t>
  </si>
  <si>
    <t>3129-2963,1413-1247</t>
  </si>
  <si>
    <t>0902310002</t>
  </si>
  <si>
    <t>Rig skidded 50' north from original hole which was turned into a water well</t>
  </si>
  <si>
    <t>OG_94</t>
  </si>
  <si>
    <t>JACKSON</t>
  </si>
  <si>
    <t>W C TINDEL #1</t>
  </si>
  <si>
    <t>1S8 5N 11W</t>
  </si>
  <si>
    <t>30° 51' 22.20757" N</t>
  </si>
  <si>
    <t>85° 21' 9.86828" W</t>
  </si>
  <si>
    <t>660'FNL&amp;2180'FEL</t>
  </si>
  <si>
    <t>26"@45'</t>
  </si>
  <si>
    <t>13-3/8"@875'</t>
  </si>
  <si>
    <t>1880-9243</t>
  </si>
  <si>
    <t>2963-2976,3658-3670</t>
  </si>
  <si>
    <t>9143-9243,650-850,0-???(35 sks cmnt)</t>
  </si>
  <si>
    <t>0906310001</t>
  </si>
  <si>
    <t>OG_95</t>
  </si>
  <si>
    <t>JEFFERSON</t>
  </si>
  <si>
    <t>E P LARSH #1</t>
  </si>
  <si>
    <t>3S1 2S 3E</t>
  </si>
  <si>
    <t>30° 20' 14.41129" N</t>
  </si>
  <si>
    <t>83° 58' 57.90119" W</t>
  </si>
  <si>
    <t>1890'FSL&amp;2615'FWL</t>
  </si>
  <si>
    <t>24"@35'</t>
  </si>
  <si>
    <t>13-3/8"@712'</t>
  </si>
  <si>
    <t>3420-7795</t>
  </si>
  <si>
    <t>740-687,25-0</t>
  </si>
  <si>
    <t>0906510001</t>
  </si>
  <si>
    <t>OG_96</t>
  </si>
  <si>
    <t>H E WESTBURY ETAL '1</t>
  </si>
  <si>
    <t>3S37 11S 26E</t>
  </si>
  <si>
    <t>29° 31' 24.99996" N</t>
  </si>
  <si>
    <t>81° 43' 5.11453" W</t>
  </si>
  <si>
    <t>14789'S &amp; 4927'E OF NW CORNER</t>
  </si>
  <si>
    <t>16"@ 68'</t>
  </si>
  <si>
    <t>10-3/4"@ 132'</t>
  </si>
  <si>
    <t>7-5/8"@ 1758</t>
  </si>
  <si>
    <t>2050-3892</t>
  </si>
  <si>
    <t>3720-3807,793-705,13-0</t>
  </si>
  <si>
    <t>0910710002</t>
  </si>
  <si>
    <t>Replugged by FDEP 3/2004</t>
  </si>
  <si>
    <t>OG_97</t>
  </si>
  <si>
    <t>P C CRAPPS A #1</t>
  </si>
  <si>
    <t>1S36 8S 10E</t>
  </si>
  <si>
    <t>29° 44' 51.49298" N</t>
  </si>
  <si>
    <t>83° 16' 31.29564" W</t>
  </si>
  <si>
    <t>24"@ 20</t>
  </si>
  <si>
    <t>16"@ 33</t>
  </si>
  <si>
    <t>7-5/8"@ 1655</t>
  </si>
  <si>
    <t>3173-3665</t>
  </si>
  <si>
    <t>3590-3502,1660-1572,12-0</t>
  </si>
  <si>
    <t>0902910003</t>
  </si>
  <si>
    <t>OG_98</t>
  </si>
  <si>
    <t>GCRC #D-1</t>
  </si>
  <si>
    <t>2S3 48S 28E</t>
  </si>
  <si>
    <t>26° 20' 6.50148" N</t>
  </si>
  <si>
    <t>81° 30' 43.43526" W</t>
  </si>
  <si>
    <t>13-3/8"@ 1007'.40</t>
  </si>
  <si>
    <t>9-5/8"@ 4265.16</t>
  </si>
  <si>
    <t>11740-11900</t>
  </si>
  <si>
    <t>11700-11900,3930-4200,0-???(35 sks cmnt)</t>
  </si>
  <si>
    <t>0902110018</t>
  </si>
  <si>
    <t>OG_99</t>
  </si>
  <si>
    <t>LTCLC #B-2</t>
  </si>
  <si>
    <t>2S13 48S 29E</t>
  </si>
  <si>
    <t>26° 18' 17.2255" N</t>
  </si>
  <si>
    <t>81° 22' 39.78527" W</t>
  </si>
  <si>
    <t>1885'FNL&amp;1934'FWL</t>
  </si>
  <si>
    <t>20"@ 103.66'</t>
  </si>
  <si>
    <t>13-3/8"@ 1012.50'</t>
  </si>
  <si>
    <t>9-5/8"@ 4260.21</t>
  </si>
  <si>
    <t>5-1\2" @ 11557.57'</t>
  </si>
  <si>
    <t>2"@ 11535</t>
  </si>
  <si>
    <t>11520-11585</t>
  </si>
  <si>
    <t>11564-11585</t>
  </si>
  <si>
    <t>519.3 BOPD</t>
  </si>
  <si>
    <t>100 to 1 GOR</t>
  </si>
  <si>
    <t>6.23 BWPD</t>
  </si>
  <si>
    <t>10724-11585,4083-4200,0-1916</t>
  </si>
  <si>
    <t>0902110019</t>
  </si>
  <si>
    <t>OG_100</t>
  </si>
  <si>
    <t>RONALD SAPP #1</t>
  </si>
  <si>
    <t>3S18 6S 14E</t>
  </si>
  <si>
    <t>29° 57' 24.92356" N</t>
  </si>
  <si>
    <t>82° 57' 21.45042" W</t>
  </si>
  <si>
    <t xml:space="preserve">502'FSL&amp;1600'FWL </t>
  </si>
  <si>
    <t>20"@ 43'</t>
  </si>
  <si>
    <t>13-3/8"@ 114'</t>
  </si>
  <si>
    <t>9-5/8"@ 1348'</t>
  </si>
  <si>
    <t>3038-3506</t>
  </si>
  <si>
    <t>1375-1325,15-0</t>
  </si>
  <si>
    <t>0906710003</t>
  </si>
  <si>
    <t>OG_101</t>
  </si>
  <si>
    <t>H T PARKER #1</t>
  </si>
  <si>
    <t>4S24 14S 22E</t>
  </si>
  <si>
    <t>29° 15' 27.29524" N</t>
  </si>
  <si>
    <t>82° 3' 21.22423" W</t>
  </si>
  <si>
    <t>16"@ 48</t>
  </si>
  <si>
    <t>7-5/8"@ 1733</t>
  </si>
  <si>
    <t>1565-3845</t>
  </si>
  <si>
    <t>3682-3632,1757-1707,15-0</t>
  </si>
  <si>
    <t>0908310002</t>
  </si>
  <si>
    <t>Converted to water well after some casing salvaged</t>
  </si>
  <si>
    <t>OG_102</t>
  </si>
  <si>
    <t>BREITBURN OPERATING LP</t>
  </si>
  <si>
    <t>GCRC #14</t>
  </si>
  <si>
    <t>SWD</t>
  </si>
  <si>
    <t>SWD/SI</t>
  </si>
  <si>
    <t>SL DIL CNLDN TEMP CC CB CALIPER</t>
  </si>
  <si>
    <t>3S18 48S 30E</t>
  </si>
  <si>
    <t>26° 17' 50.92273" N</t>
  </si>
  <si>
    <t>81° 21' 41.20907" W</t>
  </si>
  <si>
    <t>663'FSL&amp;2016'FWL</t>
  </si>
  <si>
    <t>24" @ 87'</t>
  </si>
  <si>
    <t>13-3/8"@ 1004'</t>
  </si>
  <si>
    <t>9-5/8"@ 4003'</t>
  </si>
  <si>
    <t>7" @ 1862'</t>
  </si>
  <si>
    <t>3-1/2" @ 1800'</t>
  </si>
  <si>
    <t>11499-11504</t>
  </si>
  <si>
    <t>190 BOPD</t>
  </si>
  <si>
    <t>161 MCFPD</t>
  </si>
  <si>
    <t>1.2 BWPD</t>
  </si>
  <si>
    <t>2330-2350,2435-2455 (disposal)</t>
  </si>
  <si>
    <t>11577-10990</t>
  </si>
  <si>
    <t>0902110020</t>
  </si>
  <si>
    <t>EPA Permit # FLS0210012/FLI0026, producer converted to SWDW</t>
  </si>
  <si>
    <t>OG_103</t>
  </si>
  <si>
    <t>GCRC #E-1</t>
  </si>
  <si>
    <t>4S19 47S 28E</t>
  </si>
  <si>
    <t>26° 22' 5.06518" N</t>
  </si>
  <si>
    <t>81° 33' 10.17068" W</t>
  </si>
  <si>
    <t>660'FSL&amp;1980'FEL</t>
  </si>
  <si>
    <t>24" @ 97'</t>
  </si>
  <si>
    <t>13-3/8"@988.52'</t>
  </si>
  <si>
    <t>9-5/8"@ 4248.58</t>
  </si>
  <si>
    <t>11650-11968</t>
  </si>
  <si>
    <t>7643(150sks cmnt),4380(100 sks cmnt),3000,800,97,Surface plug</t>
  </si>
  <si>
    <t>0902110021</t>
  </si>
  <si>
    <t>OG_104</t>
  </si>
  <si>
    <t>W F JOHNSON #1</t>
  </si>
  <si>
    <t>1S27 4S 16E</t>
  </si>
  <si>
    <t>30° 6' 45.77101" N</t>
  </si>
  <si>
    <t>82° 41' 38.94817" W</t>
  </si>
  <si>
    <t>2016'FNL&amp;596'FEL</t>
  </si>
  <si>
    <t>16"@ 40.25'</t>
  </si>
  <si>
    <t>10-3/4"@ 54.25'</t>
  </si>
  <si>
    <t>7-5/8"@ 1315.51'</t>
  </si>
  <si>
    <t>2858-3034.5</t>
  </si>
  <si>
    <t>2850-2800, 1340-1290,0-15</t>
  </si>
  <si>
    <t>0902310003</t>
  </si>
  <si>
    <t>OG_105</t>
  </si>
  <si>
    <t>C E ROBINSON ETUX #1</t>
  </si>
  <si>
    <t>1S19 16S 17E</t>
  </si>
  <si>
    <t>29° 4' 46.52735" N</t>
  </si>
  <si>
    <t>82° 37' 15.30084" W</t>
  </si>
  <si>
    <t xml:space="preserve">946'FNL&amp;820'FEL </t>
  </si>
  <si>
    <t>26"@ 83'</t>
  </si>
  <si>
    <t>13-3/8"@ 1413'</t>
  </si>
  <si>
    <t>4005-4609</t>
  </si>
  <si>
    <t>4304-4320</t>
  </si>
  <si>
    <t>4609-4401,1500-1300,0-???(35 sks cmnt)</t>
  </si>
  <si>
    <t>0907510005</t>
  </si>
  <si>
    <t>OG_106</t>
  </si>
  <si>
    <t>LTCLC #B-3</t>
  </si>
  <si>
    <t>1S13 48S 29E</t>
  </si>
  <si>
    <t>26° 18' 16.87547" N</t>
  </si>
  <si>
    <t>81° 22' 10.62876" W</t>
  </si>
  <si>
    <t>1977FNL&amp;667FEL</t>
  </si>
  <si>
    <t>20"@ 96'</t>
  </si>
  <si>
    <t>13-3/8"@ 1016.85'</t>
  </si>
  <si>
    <t>9-5/8"@ 4256</t>
  </si>
  <si>
    <t>5-1\2" @ 11555.20'</t>
  </si>
  <si>
    <t>2"@ 11554.20</t>
  </si>
  <si>
    <t>11500-11579</t>
  </si>
  <si>
    <t>11557-11559</t>
  </si>
  <si>
    <t>447.24 BOPD</t>
  </si>
  <si>
    <t>1.8 BWPD</t>
  </si>
  <si>
    <t>OH 11555-11579</t>
  </si>
  <si>
    <t>11579-11285,4400-4050,1920-1620,1200-0</t>
  </si>
  <si>
    <t>0902110022</t>
  </si>
  <si>
    <t>OG_107</t>
  </si>
  <si>
    <t>CLARENCE LOYD ETAL #1</t>
  </si>
  <si>
    <t>3S11 5S 17E</t>
  </si>
  <si>
    <t>30° 4' 1.4102" N</t>
  </si>
  <si>
    <t>82° 35' 29.64804" W</t>
  </si>
  <si>
    <t>1786'FSL&amp;582'FWL</t>
  </si>
  <si>
    <t>16"@ 86'</t>
  </si>
  <si>
    <t>7-5/8"@ 1376'</t>
  </si>
  <si>
    <t>2839-2928</t>
  </si>
  <si>
    <t>2875-2825,1400-1350,15-0</t>
  </si>
  <si>
    <t>0902310004</t>
  </si>
  <si>
    <t>OG_108</t>
  </si>
  <si>
    <t>STATE OF FLORIDA LEASE #363 #1</t>
  </si>
  <si>
    <t>4S32 62S 38E</t>
  </si>
  <si>
    <t>25° 0' 5.21254" N</t>
  </si>
  <si>
    <t>80° 32' 13.42471" W</t>
  </si>
  <si>
    <t>1053'FSL&amp;329'FEL</t>
  </si>
  <si>
    <t>20"@ 101'</t>
  </si>
  <si>
    <t>13-3/8"@ 1028'</t>
  </si>
  <si>
    <t>HVY MUD 7559-1028,CMT 1028-0</t>
  </si>
  <si>
    <t>0908710004</t>
  </si>
  <si>
    <t>OG_109</t>
  </si>
  <si>
    <t>A B RUSSELL #1</t>
  </si>
  <si>
    <t>1S8 5S 15E</t>
  </si>
  <si>
    <t>30° 4' 17.57719" N</t>
  </si>
  <si>
    <t>82° 49' 49.00256" W</t>
  </si>
  <si>
    <t>714'FNL&amp;711'FEL</t>
  </si>
  <si>
    <t>23"@ 18.8'</t>
  </si>
  <si>
    <t>16"@ 70.71'</t>
  </si>
  <si>
    <t>10-3/4"@ 1320'</t>
  </si>
  <si>
    <t>7-5/8"@ 1310'</t>
  </si>
  <si>
    <t>2924-3136</t>
  </si>
  <si>
    <t>2950-2890,1350-1290,15-0</t>
  </si>
  <si>
    <t>0912110004</t>
  </si>
  <si>
    <t>OG_110</t>
  </si>
  <si>
    <t>J A ABOTT TRUSTEE</t>
  </si>
  <si>
    <t>PRUDENTIAL TIMBER CO #1</t>
  </si>
  <si>
    <t>PROD/P&amp;A</t>
  </si>
  <si>
    <t>2S34 13S 16E</t>
  </si>
  <si>
    <t>29° 18' 34.83796" N</t>
  </si>
  <si>
    <t>82° 41' 57.19052" W</t>
  </si>
  <si>
    <t xml:space="preserve">2310'FNL&amp;2310'FWL </t>
  </si>
  <si>
    <t>12-3/4"@ 45'</t>
  </si>
  <si>
    <t>6-5/8"@ 1550'</t>
  </si>
  <si>
    <t>4-1/2"@ 1650'</t>
  </si>
  <si>
    <t>0-100, 1180-1650, 3700-4166, 5801-6325, 15358-15768, 16002-16030</t>
  </si>
  <si>
    <t>0907510006</t>
  </si>
  <si>
    <t>Replugged by FDEP 3/17/2004</t>
  </si>
  <si>
    <t>OG_111</t>
  </si>
  <si>
    <t>RUTH M BISHOP #1</t>
  </si>
  <si>
    <t>1S10 4S 17E</t>
  </si>
  <si>
    <t>30° 9' 31.65422" N</t>
  </si>
  <si>
    <t>82° 35' 42.56527" W</t>
  </si>
  <si>
    <t xml:space="preserve">2025'FNL&amp;678'FEL </t>
  </si>
  <si>
    <t>23"@ 15.4'</t>
  </si>
  <si>
    <t>16"@ 54'</t>
  </si>
  <si>
    <t>10-3/4"@ 100'</t>
  </si>
  <si>
    <t>7-5/8"@ 1472'</t>
  </si>
  <si>
    <t>2823-2828</t>
  </si>
  <si>
    <t xml:space="preserve">1508-1447,15-0 </t>
  </si>
  <si>
    <t>0902310005</t>
  </si>
  <si>
    <t>converted to water well</t>
  </si>
  <si>
    <t>OG_112</t>
  </si>
  <si>
    <t>GCRC #15</t>
  </si>
  <si>
    <t>3S12 48S 29E</t>
  </si>
  <si>
    <t>26° 18' 55.71014" N</t>
  </si>
  <si>
    <t>81° 22' 39.67399" W</t>
  </si>
  <si>
    <t>20"@ 87.69'</t>
  </si>
  <si>
    <t>13-3/8"@ 1017.65'</t>
  </si>
  <si>
    <t>9-5/8"@ 4260</t>
  </si>
  <si>
    <t>11630-11666</t>
  </si>
  <si>
    <t>75 sks cmt@11697,100 sks cmt@4150,0-???(25 sks cmt)</t>
  </si>
  <si>
    <t>0902110023</t>
  </si>
  <si>
    <t>OG_113</t>
  </si>
  <si>
    <t>LEVY M OIL CO</t>
  </si>
  <si>
    <t>A P HARDEE &amp; H E HARDEE #1</t>
  </si>
  <si>
    <t>4S20 12S 17E</t>
  </si>
  <si>
    <t>29° 25' 35.47186" N</t>
  </si>
  <si>
    <t>82° 37' 40.7015" W</t>
  </si>
  <si>
    <t>2316'FSL&amp;1656'FEL</t>
  </si>
  <si>
    <t>0907510007</t>
  </si>
  <si>
    <t>OG_114</t>
  </si>
  <si>
    <t>BROOKS-SCANLON INC #1</t>
  </si>
  <si>
    <t>2S36 5S 10E</t>
  </si>
  <si>
    <t>30° 0' 37.67861" N</t>
  </si>
  <si>
    <t>83° 16' 45.55628" W</t>
  </si>
  <si>
    <t>738'FNL&amp;476'FWL</t>
  </si>
  <si>
    <t>16"@ 51'</t>
  </si>
  <si>
    <t>10-3/4"@ 68'</t>
  </si>
  <si>
    <t>7-5/8"@ 1742'</t>
  </si>
  <si>
    <t>1645-4512</t>
  </si>
  <si>
    <t>2830-2780,1788-1688,0-3</t>
  </si>
  <si>
    <t>0906710004</t>
  </si>
  <si>
    <t>OG_115</t>
  </si>
  <si>
    <t>TIIF #1</t>
  </si>
  <si>
    <t>3S25 55S 37E</t>
  </si>
  <si>
    <t>25° 36' 55.27" N</t>
  </si>
  <si>
    <t>80° 34' 58.19" W</t>
  </si>
  <si>
    <t>2088'FSL&amp;2571'FWL</t>
  </si>
  <si>
    <t>20"@ 124'</t>
  </si>
  <si>
    <t>13-3/8"@ 1051'</t>
  </si>
  <si>
    <t>9-5/8"@ 5634'</t>
  </si>
  <si>
    <t>10760-11520</t>
  </si>
  <si>
    <t>10775-10945</t>
  </si>
  <si>
    <t>5700-5570,1060-970,0-15</t>
  </si>
  <si>
    <t>0902510003</t>
  </si>
  <si>
    <t>OG_116</t>
  </si>
  <si>
    <t>BROOKS-SCANLON INC BLOCK #42 #1</t>
  </si>
  <si>
    <t>4S9 8S 9E</t>
  </si>
  <si>
    <t>29° 47' 44.34428" N</t>
  </si>
  <si>
    <t>83° 25' 36.41779" W</t>
  </si>
  <si>
    <t>860'FSL&amp;1978'FEL</t>
  </si>
  <si>
    <t>16"@ 29'</t>
  </si>
  <si>
    <t>10-3/4"@ 52'</t>
  </si>
  <si>
    <t>7-5/8"@ 1845'</t>
  </si>
  <si>
    <t>1849-5517</t>
  </si>
  <si>
    <t>3020-3120,1848-1748,4-0</t>
  </si>
  <si>
    <t>0912310002</t>
  </si>
  <si>
    <t>OG_117</t>
  </si>
  <si>
    <t>HARRISON WILLIAMS #1</t>
  </si>
  <si>
    <t>2S25 59S 40E</t>
  </si>
  <si>
    <t>25° 16' 43.5833" N</t>
  </si>
  <si>
    <t>80° 17' 55.49291" W</t>
  </si>
  <si>
    <t xml:space="preserve">1398'FNL&amp;660'FWL </t>
  </si>
  <si>
    <t>20"@ 253'</t>
  </si>
  <si>
    <t>13-3/8"@989'</t>
  </si>
  <si>
    <t>939-989,0-50</t>
  </si>
  <si>
    <t>0908710005</t>
  </si>
  <si>
    <t>OG_118</t>
  </si>
  <si>
    <t>LTCLC #B-4</t>
  </si>
  <si>
    <t>3S13 48S 29E</t>
  </si>
  <si>
    <t>26° 17' 50.05208" N</t>
  </si>
  <si>
    <t>81° 22' 38.86205" W</t>
  </si>
  <si>
    <t>664'FSL&amp;2016'FWL</t>
  </si>
  <si>
    <t>20"@ 79.5'</t>
  </si>
  <si>
    <t>13-3/8"@ 1017.46'</t>
  </si>
  <si>
    <t>9-5/8"@ 4265.57</t>
  </si>
  <si>
    <t>5-1\2" @ 11535.21'</t>
  </si>
  <si>
    <t>2"@ 11509.17</t>
  </si>
  <si>
    <t>11500-11576</t>
  </si>
  <si>
    <t>11543-11576</t>
  </si>
  <si>
    <t>413.76 BOPD</t>
  </si>
  <si>
    <t>434MCFPD</t>
  </si>
  <si>
    <t>OH 11576-11535</t>
  </si>
  <si>
    <t>11576-11217,4365-4054,1920-1620, 1200-300, 154-4</t>
  </si>
  <si>
    <t>0902110024</t>
  </si>
  <si>
    <t>OG_119</t>
  </si>
  <si>
    <t>BROOKS-SCANLON INC BLOCK #33 #1</t>
  </si>
  <si>
    <t>4S18 4S 9E</t>
  </si>
  <si>
    <t>30° 7' 52.4127" N</t>
  </si>
  <si>
    <t>83° 27' 20.8566" W</t>
  </si>
  <si>
    <t>850'FSL&amp;730'FEL</t>
  </si>
  <si>
    <t>10-3/4"@ 94'</t>
  </si>
  <si>
    <t>7-5/8"@ 1760'</t>
  </si>
  <si>
    <t>3300-5239</t>
  </si>
  <si>
    <t>3477-3485</t>
  </si>
  <si>
    <t>1760-1710,5-0</t>
  </si>
  <si>
    <t>0912310003</t>
  </si>
  <si>
    <t>OG_120</t>
  </si>
  <si>
    <t>BROOKS-SCANLON INC BLOCK #37 #1</t>
  </si>
  <si>
    <t>4S17 6S 9E</t>
  </si>
  <si>
    <t>29° 57' 35.20656" N</t>
  </si>
  <si>
    <t>83° 26' 23.42666" W</t>
  </si>
  <si>
    <t>3102'FNL &amp; 660'FEL</t>
  </si>
  <si>
    <t>10-3/4"@ 93'</t>
  </si>
  <si>
    <t>7-5/8"@ 1780'</t>
  </si>
  <si>
    <t>1778-4877</t>
  </si>
  <si>
    <t>3510-3519</t>
  </si>
  <si>
    <t>2900-2850,1780-1730,5-0</t>
  </si>
  <si>
    <t>0912310004</t>
  </si>
  <si>
    <t>OG_121</t>
  </si>
  <si>
    <t>GCRC #16</t>
  </si>
  <si>
    <t>4S14 48S 29E</t>
  </si>
  <si>
    <t>26° 17' 49.5154" N</t>
  </si>
  <si>
    <t>81° 23' 7.93608" W</t>
  </si>
  <si>
    <t>663'FSL&amp;659'FEL</t>
  </si>
  <si>
    <t>13-3/8"@ 1005</t>
  </si>
  <si>
    <t>11540-11875</t>
  </si>
  <si>
    <t>11560-11575</t>
  </si>
  <si>
    <t>2430' oil</t>
  </si>
  <si>
    <t>90' water</t>
  </si>
  <si>
    <t>85 sks cmnt@11535,85 sks cmnt@4150,15 sks cmnt@surface</t>
  </si>
  <si>
    <t>0902110025</t>
  </si>
  <si>
    <t>OG_122</t>
  </si>
  <si>
    <t>THE TEXAS CO</t>
  </si>
  <si>
    <t>2S17 1S 18W</t>
  </si>
  <si>
    <t>30° 29' 53.76156" N</t>
  </si>
  <si>
    <t>86° 4' 13.51103" W</t>
  </si>
  <si>
    <t>960'FNL&amp;1260'FWL</t>
  </si>
  <si>
    <t>10-3/4"@ 1993'</t>
  </si>
  <si>
    <t>5022-5032</t>
  </si>
  <si>
    <t>1903-2093,0-60</t>
  </si>
  <si>
    <t>0913110007</t>
  </si>
  <si>
    <t>OG_123</t>
  </si>
  <si>
    <t>R E SKINNER</t>
  </si>
  <si>
    <t>J A BOYD LEASE #10 #1</t>
  </si>
  <si>
    <t>2S25 27S 16E</t>
  </si>
  <si>
    <t>28° 6' 30.10993" N</t>
  </si>
  <si>
    <t>82° 39' 38.72128" W</t>
  </si>
  <si>
    <t>2310'FNL&amp;1650'FWL</t>
  </si>
  <si>
    <t>8-5/8"@ 100'</t>
  </si>
  <si>
    <t>4-1/2"@ 1120'</t>
  </si>
  <si>
    <t>bridge @ 810,257-357</t>
  </si>
  <si>
    <t>0910310003</t>
  </si>
  <si>
    <t>converted to water well as per landowner request</t>
  </si>
  <si>
    <t>OG_124</t>
  </si>
  <si>
    <t>KIE VINNING #1</t>
  </si>
  <si>
    <t>3S2 4S 15E</t>
  </si>
  <si>
    <t>30° 9' 44.11523" N</t>
  </si>
  <si>
    <t>82° 47' 17.4372" W</t>
  </si>
  <si>
    <t>330'FSL&amp;2080'FWL</t>
  </si>
  <si>
    <t>16"@ 60'</t>
  </si>
  <si>
    <t>10-3/4"@ 122'</t>
  </si>
  <si>
    <t>7-5/8"@ 147'</t>
  </si>
  <si>
    <t>2935-3470</t>
  </si>
  <si>
    <t>2600-2550,1450-1400,5-0</t>
  </si>
  <si>
    <t>0902310006</t>
  </si>
  <si>
    <t>OG_125</t>
  </si>
  <si>
    <t>GCRC #17</t>
  </si>
  <si>
    <t>1S14 48S 29E</t>
  </si>
  <si>
    <t>26° 18' 16.22239" N</t>
  </si>
  <si>
    <t>81° 23' 22.90232" W</t>
  </si>
  <si>
    <t>1990'FNL&amp;1987'FEL</t>
  </si>
  <si>
    <t>20"@ 78'</t>
  </si>
  <si>
    <t>13-3/8"@ 1010</t>
  </si>
  <si>
    <t>9641-11658</t>
  </si>
  <si>
    <t>11597-11612</t>
  </si>
  <si>
    <t>660' oil</t>
  </si>
  <si>
    <t>3750' water</t>
  </si>
  <si>
    <t>75 sks cmnt@11496,100sks@4100',3021-???,1009-???,0-61</t>
  </si>
  <si>
    <t>0902110026</t>
  </si>
  <si>
    <t>OG_126</t>
  </si>
  <si>
    <t>NATIONAL TURF &amp; PULPWOOD CORP</t>
  </si>
  <si>
    <t>NTPC #1</t>
  </si>
  <si>
    <t>2S7 4S 19E</t>
  </si>
  <si>
    <t>30° 9' 49.83224" N</t>
  </si>
  <si>
    <t>82° 27' 22.63507" W</t>
  </si>
  <si>
    <t>10-3/4"@ 154'</t>
  </si>
  <si>
    <t>7-5/8"@ 1643'</t>
  </si>
  <si>
    <t>2850-3043</t>
  </si>
  <si>
    <t>2800-2750,1650-1062</t>
  </si>
  <si>
    <t>0900310003</t>
  </si>
  <si>
    <t>OG_127</t>
  </si>
  <si>
    <t>ESCAMBIA</t>
  </si>
  <si>
    <t>JOHN S NEILSON</t>
  </si>
  <si>
    <t>MCDAVID VEERNEER CO #1</t>
  </si>
  <si>
    <t>2S35 6N 30W</t>
  </si>
  <si>
    <t>30° 59' 31.68074" N</t>
  </si>
  <si>
    <t>87° 12' 51.60254" W</t>
  </si>
  <si>
    <t>10-3/4"@ 650</t>
  </si>
  <si>
    <t>25 sks cmnt @2500,15sks cmnt@638,5sks cmnt@surface</t>
  </si>
  <si>
    <t>0903310001</t>
  </si>
  <si>
    <t>OG_128</t>
  </si>
  <si>
    <t>FIELDS &amp; RANDALL DRILLING CO</t>
  </si>
  <si>
    <t>GEORGE DREW CRAWLEY #1</t>
  </si>
  <si>
    <t>3S6 2S 13E</t>
  </si>
  <si>
    <t>30° 20' 21.49397" N</t>
  </si>
  <si>
    <t>83° 3' 43.92277" W</t>
  </si>
  <si>
    <t xml:space="preserve">1980'FSL&amp;660'FWL </t>
  </si>
  <si>
    <t>16"@ 73'</t>
  </si>
  <si>
    <t>7-5/8"@ 1720'</t>
  </si>
  <si>
    <t>3164-3833</t>
  </si>
  <si>
    <t>25 sacks cement @1728'</t>
  </si>
  <si>
    <t>0912110005</t>
  </si>
  <si>
    <t>OG_129</t>
  </si>
  <si>
    <t>MCCORD OIL CORP</t>
  </si>
  <si>
    <t>DAMCO OIL DEVELOPMENT CO ETAL #1</t>
  </si>
  <si>
    <t>EL LITHO</t>
  </si>
  <si>
    <t>3S31 53S 35E</t>
  </si>
  <si>
    <t>25° 48' 27.20358" N</t>
  </si>
  <si>
    <t>80° 52' 21.3055" W</t>
  </si>
  <si>
    <t>100'FSL&amp;200'FWL</t>
  </si>
  <si>
    <t>16"@ 209'</t>
  </si>
  <si>
    <t>10-3/4"@ 457</t>
  </si>
  <si>
    <t>8-5/8"@ 3240'</t>
  </si>
  <si>
    <t>10280-11885</t>
  </si>
  <si>
    <t>550-450,25-0</t>
  </si>
  <si>
    <t>0902510004</t>
  </si>
  <si>
    <t>OG_130</t>
  </si>
  <si>
    <t>COLLIER CORP #1</t>
  </si>
  <si>
    <t>2S27 50S 26E</t>
  </si>
  <si>
    <t>26° 5' 22.83313" N</t>
  </si>
  <si>
    <t>81° 41' 41.5469" W</t>
  </si>
  <si>
    <t>1884'FNL&amp;2150'FWL</t>
  </si>
  <si>
    <t>20"@ 107.33'</t>
  </si>
  <si>
    <t>13-3/8"@ 1024.31'</t>
  </si>
  <si>
    <t>9-5/8"@ 4491.01'</t>
  </si>
  <si>
    <t>4893-12547</t>
  </si>
  <si>
    <t>12238-12508,4290-4690,0-??(50 sacks cmnt)</t>
  </si>
  <si>
    <t>0902110027</t>
  </si>
  <si>
    <t>OG_131</t>
  </si>
  <si>
    <t>J A BOYD ESTATE #1</t>
  </si>
  <si>
    <t>2S1 28S 16E</t>
  </si>
  <si>
    <t>28° 4' 47.71063" N</t>
  </si>
  <si>
    <t>82° 39' 26.35492" W</t>
  </si>
  <si>
    <t>2140'FNL&amp;2473'FWL</t>
  </si>
  <si>
    <t>8-5/8"@ 70'</t>
  </si>
  <si>
    <t>6-5/8"@ 681'</t>
  </si>
  <si>
    <t>550-500,250-200,20-0</t>
  </si>
  <si>
    <t>0910310004</t>
  </si>
  <si>
    <t>OG_132</t>
  </si>
  <si>
    <t>COMMONWEALTH OIL CO</t>
  </si>
  <si>
    <t>MARCUS LISCHKOFF ETAL #1</t>
  </si>
  <si>
    <t>2S8 2S 31W</t>
  </si>
  <si>
    <t>30° 25' 37.25645" N</t>
  </si>
  <si>
    <t>87° 20' 13.47101" W</t>
  </si>
  <si>
    <t>SW1/4 IRRE. SEC 8 see plat</t>
  </si>
  <si>
    <t>16"@ 80'</t>
  </si>
  <si>
    <t>10-3/4"@ 443</t>
  </si>
  <si>
    <t>1758-7218(Sidewall)</t>
  </si>
  <si>
    <t>950-1000,379-429,0-5</t>
  </si>
  <si>
    <t>0903310002</t>
  </si>
  <si>
    <t>OG_133</t>
  </si>
  <si>
    <t>HENDRY</t>
  </si>
  <si>
    <t>COLLIER CORP #B-1</t>
  </si>
  <si>
    <t>4S14 47S 31E</t>
  </si>
  <si>
    <t>26° 23' 30.9809" N</t>
  </si>
  <si>
    <t>81° 11' 46.31718" W</t>
  </si>
  <si>
    <t>2162'FSL&amp;1868'FEL</t>
  </si>
  <si>
    <t>13-3/8"@ 1391.01'</t>
  </si>
  <si>
    <t>9-5/8"@ 4325.41'</t>
  </si>
  <si>
    <t>9634-11794</t>
  </si>
  <si>
    <t>11063-11521</t>
  </si>
  <si>
    <t>11250-11794,68 sacks cmnt@11060,5556-5610,30 sacks cmnt@5538,53 sacks cmnt@4250,0-???(30 sacks cmnt)</t>
  </si>
  <si>
    <t>0905110001</t>
  </si>
  <si>
    <t>same Lat/Long as P#171</t>
  </si>
  <si>
    <t>OG_134</t>
  </si>
  <si>
    <t>COLLIER CORP #2</t>
  </si>
  <si>
    <t>3S34 50S 26E</t>
  </si>
  <si>
    <t>26° 4' 2.33796" N</t>
  </si>
  <si>
    <t>81° 41' 41.23928" W</t>
  </si>
  <si>
    <t>654'FSL&amp;2052'FWL</t>
  </si>
  <si>
    <t>20"@ 59.61'</t>
  </si>
  <si>
    <t>13-3/8"@ 1019.22'</t>
  </si>
  <si>
    <t>9-5/8"@ 4422.04'</t>
  </si>
  <si>
    <t>4833-5461</t>
  </si>
  <si>
    <t>5738-5900,4337-4472,2340-2352,150 sacks cmnt @2011,0-???(15 sacks cmnt)</t>
  </si>
  <si>
    <t>0902110028</t>
  </si>
  <si>
    <t>OG_135</t>
  </si>
  <si>
    <t>SUNNYLAND CONTRACTING CO INC</t>
  </si>
  <si>
    <t>MCMILLAN MILL CO &amp; L M EUBANK #1</t>
  </si>
  <si>
    <t>3S3 4N 32W</t>
  </si>
  <si>
    <t>30° 53' 33.51286" N</t>
  </si>
  <si>
    <t>87° 25' 53.85263" W</t>
  </si>
  <si>
    <t xml:space="preserve">2200'FSL&amp;1890'FWL </t>
  </si>
  <si>
    <t>10-3/4"@ 529</t>
  </si>
  <si>
    <t>5450-5550,450-550,0-25</t>
  </si>
  <si>
    <t>0903310003</t>
  </si>
  <si>
    <t>OG_136</t>
  </si>
  <si>
    <t>COLLIER CORP #3</t>
  </si>
  <si>
    <t>26° 4' 1.79303" N</t>
  </si>
  <si>
    <t>81° 41' 41.24724" W</t>
  </si>
  <si>
    <t xml:space="preserve">604'FSL&amp;2052'FWL </t>
  </si>
  <si>
    <t>13-3/8"@ 79.20'</t>
  </si>
  <si>
    <t>9-5/8"@ 1022'</t>
  </si>
  <si>
    <t>2370-2515,0-???(15 sacks cmnt)</t>
  </si>
  <si>
    <t>0902110029</t>
  </si>
  <si>
    <t>OG_137</t>
  </si>
  <si>
    <t>SANTA ROSA</t>
  </si>
  <si>
    <t>MT CARMEL</t>
  </si>
  <si>
    <t>C BYNUM #1</t>
  </si>
  <si>
    <t>2S4 5N 29W</t>
  </si>
  <si>
    <t>30° 58' 35.15329" N</t>
  </si>
  <si>
    <t>87° 7' 54.57392" W</t>
  </si>
  <si>
    <t>9-5/8"@ 434'</t>
  </si>
  <si>
    <t>5100-5200,475-575,0-15</t>
  </si>
  <si>
    <t>0911310001</t>
  </si>
  <si>
    <t>OG_138</t>
  </si>
  <si>
    <t>A S MITCHELL ETAL #1</t>
  </si>
  <si>
    <t>4S21 6S 5W</t>
  </si>
  <si>
    <t>29° 56' 10.79243" N</t>
  </si>
  <si>
    <t>84° 44' 15.3816" W</t>
  </si>
  <si>
    <t xml:space="preserve">1980'FSL&amp;660'FEL </t>
  </si>
  <si>
    <t>30"@ 26'</t>
  </si>
  <si>
    <t>20"@ 107'</t>
  </si>
  <si>
    <t>13-3/8"@ 588'</t>
  </si>
  <si>
    <t>9-5/8"@ 2048.65'</t>
  </si>
  <si>
    <t>2200-4607</t>
  </si>
  <si>
    <t>4702-4736</t>
  </si>
  <si>
    <t>38 Sacks Cmnt @ 4736, 2048-1998,10-0</t>
  </si>
  <si>
    <t>0903710006</t>
  </si>
  <si>
    <t>OG_139</t>
  </si>
  <si>
    <t>L C MERCER ETUX #1</t>
  </si>
  <si>
    <t>1S33 2S 12E</t>
  </si>
  <si>
    <t>30° 16' 24.86849" N</t>
  </si>
  <si>
    <t>83° 6' 59.48028" W</t>
  </si>
  <si>
    <t>664'FNL&amp;667'FEL</t>
  </si>
  <si>
    <t>0912110006</t>
  </si>
  <si>
    <t>OG_140</t>
  </si>
  <si>
    <t>MRS W H NOWLING #1</t>
  </si>
  <si>
    <t>4S24 5N 29W</t>
  </si>
  <si>
    <t>30° 55' 44.27501" N</t>
  </si>
  <si>
    <t>87° 7' 28.28777" W</t>
  </si>
  <si>
    <t>10-3/4"@ 517</t>
  </si>
  <si>
    <t>5395-6387</t>
  </si>
  <si>
    <t>5075-5175,475-575,0-15</t>
  </si>
  <si>
    <t>0911310002</t>
  </si>
  <si>
    <t>OG_141</t>
  </si>
  <si>
    <t>GLADES</t>
  </si>
  <si>
    <t>IIF LEASE 248 &amp; JOHN TIEDTKE #1</t>
  </si>
  <si>
    <t>1S30 42S 34E</t>
  </si>
  <si>
    <t>26° 47' 10.10519" N</t>
  </si>
  <si>
    <t>80° 57' 47.93209" W</t>
  </si>
  <si>
    <t>1320FSL&amp;4642FWL</t>
  </si>
  <si>
    <t>Not Drilled</t>
  </si>
  <si>
    <t>OG_142</t>
  </si>
  <si>
    <t>C L SMITH</t>
  </si>
  <si>
    <t>2S22 1N 17W</t>
  </si>
  <si>
    <t>30° 28' 48.87239" N</t>
  </si>
  <si>
    <t>85° 56' 5.4793" W</t>
  </si>
  <si>
    <t>3806-4835</t>
  </si>
  <si>
    <t>1100-1150,435-490,0-??(10 sacks cmnt)</t>
  </si>
  <si>
    <t>0913110008</t>
  </si>
  <si>
    <t>OG_143</t>
  </si>
  <si>
    <t>SQUIRE TAYLOR #1</t>
  </si>
  <si>
    <t>1S25 3S 13E</t>
  </si>
  <si>
    <t>30° 11' 51.3222" N</t>
  </si>
  <si>
    <t>82° 58' 7.87944" W</t>
  </si>
  <si>
    <t xml:space="preserve">1976'FNL&amp;1990'FEL </t>
  </si>
  <si>
    <t>30"@ 68'</t>
  </si>
  <si>
    <t>13-3/8"@ 759'</t>
  </si>
  <si>
    <t>9-5/8"@ 832'</t>
  </si>
  <si>
    <t>3684-3010</t>
  </si>
  <si>
    <t>3684-3584,832-782,50-0(25 sacks cmnt)</t>
  </si>
  <si>
    <t>0912110007</t>
  </si>
  <si>
    <t>OG_144</t>
  </si>
  <si>
    <t>CECIL R HADEN</t>
  </si>
  <si>
    <t>Y F MCCART #1</t>
  </si>
  <si>
    <t>4S30 4N 24W</t>
  </si>
  <si>
    <t>30° 49' 0.45448" N</t>
  </si>
  <si>
    <t>86° 40' 39.60282" W</t>
  </si>
  <si>
    <t>8-5/8"@ 489'</t>
  </si>
  <si>
    <t>4600-4700,450-550,0-15</t>
  </si>
  <si>
    <t>0909110002</t>
  </si>
  <si>
    <t>OG_145</t>
  </si>
  <si>
    <t>I P LARUE &amp; FRED LARUE</t>
  </si>
  <si>
    <t>L A SPENCER #1</t>
  </si>
  <si>
    <t>2S30 4N 8W</t>
  </si>
  <si>
    <t>30° 43' 18.87254" N</t>
  </si>
  <si>
    <t>85° 4' 21.87066" W</t>
  </si>
  <si>
    <t xml:space="preserve">661'FNL&amp;1980'FWL </t>
  </si>
  <si>
    <t>13-3/8"@ 533'</t>
  </si>
  <si>
    <t>845-895,513-548,0-??(15 sacks cmnt)</t>
  </si>
  <si>
    <t>0906310002</t>
  </si>
  <si>
    <t>OG_146</t>
  </si>
  <si>
    <t>LYLE CASHION CO</t>
  </si>
  <si>
    <t>H HANNA #1</t>
  </si>
  <si>
    <t>1S29 6N 29W</t>
  </si>
  <si>
    <t>30° 59' 54.72827" N</t>
  </si>
  <si>
    <t>87° 8' 20.1286" W</t>
  </si>
  <si>
    <t>335FNL&amp;384FEL</t>
  </si>
  <si>
    <t>10-3/4"@ 526</t>
  </si>
  <si>
    <t>6450-6459</t>
  </si>
  <si>
    <t>1300-1350,475-575,0-10</t>
  </si>
  <si>
    <t>0911310003</t>
  </si>
  <si>
    <t>OG_147</t>
  </si>
  <si>
    <t>J A ABOTT ETAL #1</t>
  </si>
  <si>
    <t>1S19 3N 32W</t>
  </si>
  <si>
    <t>30° 45' 54.00097" N</t>
  </si>
  <si>
    <t>87° 28' 52.52686" W</t>
  </si>
  <si>
    <t xml:space="preserve">1980'FNL&amp;1980'FEL </t>
  </si>
  <si>
    <t>10-3/4"@ 523</t>
  </si>
  <si>
    <t>1550-1650,473-523,0-20</t>
  </si>
  <si>
    <t>0903310004</t>
  </si>
  <si>
    <t>OG_148</t>
  </si>
  <si>
    <t>SINCLAIR OIL &amp; GAS CO</t>
  </si>
  <si>
    <t>H R WILLIAMS #1</t>
  </si>
  <si>
    <t>4S24 59S 40E</t>
  </si>
  <si>
    <t>25° 17' 9.67722" N</t>
  </si>
  <si>
    <t>80° 17' 27.54175" W</t>
  </si>
  <si>
    <t>20"@ 73'</t>
  </si>
  <si>
    <t>13-3/8"@ 623'</t>
  </si>
  <si>
    <t>9-5/8"@ 6880'</t>
  </si>
  <si>
    <t>7263-8735</t>
  </si>
  <si>
    <t>9965-10035</t>
  </si>
  <si>
    <t>10035-9900,3135-3000,708-451,25-0</t>
  </si>
  <si>
    <t>0908710006</t>
  </si>
  <si>
    <t>OG_149</t>
  </si>
  <si>
    <t>E L JORDAN ETAL #1</t>
  </si>
  <si>
    <t>1S36 1N 11W</t>
  </si>
  <si>
    <t>30° 26' 36.34998" N</t>
  </si>
  <si>
    <t>85° 17' 30.22382" W</t>
  </si>
  <si>
    <t>16"@ 107'</t>
  </si>
  <si>
    <t>9-5/8"@ 211'</t>
  </si>
  <si>
    <t>3479-3609,1070-1200,100-230,0-??(10 sacks cmnt)</t>
  </si>
  <si>
    <t>0901310007</t>
  </si>
  <si>
    <t>OG_150</t>
  </si>
  <si>
    <t>BRADY BELCHER INTERESTS INC #1</t>
  </si>
  <si>
    <t>2S18 3N 22W</t>
  </si>
  <si>
    <t>30° 45' 47.82611" N</t>
  </si>
  <si>
    <t>86° 29' 24.63558" W</t>
  </si>
  <si>
    <t>16"@ 71'</t>
  </si>
  <si>
    <t>9-5/8"@ 556'</t>
  </si>
  <si>
    <t>4476-5232</t>
  </si>
  <si>
    <t>4391-4460,1411-1530,481-600,0-??(10 sacks cmnt)</t>
  </si>
  <si>
    <t>0909110003</t>
  </si>
  <si>
    <t>OG_151</t>
  </si>
  <si>
    <t>MCRAE LAND &amp; TIMBER CO #1</t>
  </si>
  <si>
    <t>2S12 6N 11W</t>
  </si>
  <si>
    <t>30° 56' 35.34925" N</t>
  </si>
  <si>
    <t>85° 17' 15.52949" W</t>
  </si>
  <si>
    <t>660'FNL&amp;2080'FWL</t>
  </si>
  <si>
    <t>16"@ 43'</t>
  </si>
  <si>
    <t>9-5/8"@ 514'</t>
  </si>
  <si>
    <t>2694-2825,1394-1525,394-525,0-??(10 sacks cmnt)</t>
  </si>
  <si>
    <t>0906310003</t>
  </si>
  <si>
    <t>OG_152</t>
  </si>
  <si>
    <t>JOHN TIEDTKE &amp; WILLIAM SCHROEDER #1</t>
  </si>
  <si>
    <t>EL ML GR</t>
  </si>
  <si>
    <t>2S25 42S 33E</t>
  </si>
  <si>
    <t>26° 47' 27.3048" N</t>
  </si>
  <si>
    <t>80° 59' 36.64867" W</t>
  </si>
  <si>
    <t xml:space="preserve">2406'FNL&amp;71'FWL </t>
  </si>
  <si>
    <t>20"@ 50'</t>
  </si>
  <si>
    <t>13-3/8"@ 838'</t>
  </si>
  <si>
    <t>9-5/8"@ 3474'</t>
  </si>
  <si>
    <t>11024-13236</t>
  </si>
  <si>
    <t>4284-4428</t>
  </si>
  <si>
    <t>100 sacks cmnt @ 560,0-???(40 sacks cmnt)</t>
  </si>
  <si>
    <t>0904310001</t>
  </si>
  <si>
    <t>OG_153</t>
  </si>
  <si>
    <t>THE CALIFORNIA CO</t>
  </si>
  <si>
    <t>SANTA MARIA UNIT #1</t>
  </si>
  <si>
    <t>BLACKWATER RIVER STATE FOREST</t>
  </si>
  <si>
    <t>2S33 6N 26W</t>
  </si>
  <si>
    <t>30° 59' 1.82742" N</t>
  </si>
  <si>
    <t>86° 50' 47.66078" W</t>
  </si>
  <si>
    <t>10-3/4"@ 640</t>
  </si>
  <si>
    <t>1500-1700,540-740,0-30</t>
  </si>
  <si>
    <t>0911310004</t>
  </si>
  <si>
    <t>OG_154</t>
  </si>
  <si>
    <t>A R TEMPLE-A W WILLIAMS INSP CO</t>
  </si>
  <si>
    <t>VERNON LD &amp; TMBR CO #1</t>
  </si>
  <si>
    <t>1S29 1N 16W</t>
  </si>
  <si>
    <t>30° 28' 3.56293" N</t>
  </si>
  <si>
    <t>85° 51' 35.04427" W</t>
  </si>
  <si>
    <t>8-5/8"@ 273'</t>
  </si>
  <si>
    <t>3932-4836</t>
  </si>
  <si>
    <t>4250-4350,1000-1100,0-15</t>
  </si>
  <si>
    <t>0913310004</t>
  </si>
  <si>
    <t>OG_155</t>
  </si>
  <si>
    <t>C C MOORE #1</t>
  </si>
  <si>
    <t>EL ES</t>
  </si>
  <si>
    <t>4S27 1S 15W</t>
  </si>
  <si>
    <t>30° 22' 19.55176" N</t>
  </si>
  <si>
    <t>85° 43' 46.87828" W</t>
  </si>
  <si>
    <t>8-5/8"@ 222'</t>
  </si>
  <si>
    <t>4895-3854</t>
  </si>
  <si>
    <t>4380-4480, 1300-1200,0-???(15 sacks cmnt)</t>
  </si>
  <si>
    <t>0900510002</t>
  </si>
  <si>
    <t>OG_156</t>
  </si>
  <si>
    <t>VERNON LAND &amp; TIMBER CO #2</t>
  </si>
  <si>
    <t>3S30 2N 15W</t>
  </si>
  <si>
    <t>30° 32' 39.40534" N</t>
  </si>
  <si>
    <t>85° 47' 14.60069" W</t>
  </si>
  <si>
    <t>12"@ 86'</t>
  </si>
  <si>
    <t>8-5/8"@ 286'</t>
  </si>
  <si>
    <t>3717-4664</t>
  </si>
  <si>
    <t>4200-4300,1325-1425,0-???(15 sacks cmnt)</t>
  </si>
  <si>
    <t>0913310005</t>
  </si>
  <si>
    <t>OG_157</t>
  </si>
  <si>
    <t>T J NICHOLAS #1</t>
  </si>
  <si>
    <t>2S15 5N 29W</t>
  </si>
  <si>
    <t>30° 56' 59.29768" N</t>
  </si>
  <si>
    <t>87° 6' 11.37499" W</t>
  </si>
  <si>
    <t>10-3/4"@ 350.65</t>
  </si>
  <si>
    <t>1600-1700,400-450,0-15</t>
  </si>
  <si>
    <t>0911310005</t>
  </si>
  <si>
    <t>OG_158</t>
  </si>
  <si>
    <t>BERRYDALE USA #1</t>
  </si>
  <si>
    <t>4S4 4N 27W</t>
  </si>
  <si>
    <t>30° 52' 39.94986" N</t>
  </si>
  <si>
    <t>86° 56' 40.47216" W</t>
  </si>
  <si>
    <t>689'FSL&amp;1981'FEL</t>
  </si>
  <si>
    <t>10-3/4"@ 1012.42</t>
  </si>
  <si>
    <t>952-1072, 0-???(10 sack cmnt)</t>
  </si>
  <si>
    <t>0911310006</t>
  </si>
  <si>
    <t>OG_159</t>
  </si>
  <si>
    <t>BLACKMAN UNIT #1</t>
  </si>
  <si>
    <t>2S28 5N 24W</t>
  </si>
  <si>
    <t>30° 54' 38.5236" N</t>
  </si>
  <si>
    <t>86° 39' 15.69352" W</t>
  </si>
  <si>
    <t>551'FNL&amp;768'FWL</t>
  </si>
  <si>
    <t>10-3/4"@ 892</t>
  </si>
  <si>
    <t>1590-1700,792-992,0-???(10 sacks cmnt)</t>
  </si>
  <si>
    <t>0909110004</t>
  </si>
  <si>
    <t>OG_160</t>
  </si>
  <si>
    <t>LEE</t>
  </si>
  <si>
    <t>CONSOLIDATED NAVAL STORES CO #1</t>
  </si>
  <si>
    <t>1S27 45S 26E</t>
  </si>
  <si>
    <t>26° 32' 19.71607" N</t>
  </si>
  <si>
    <t>81° 41' 43.00138" W</t>
  </si>
  <si>
    <t>20"@ 120'</t>
  </si>
  <si>
    <t>13-3/8"@ 1068'</t>
  </si>
  <si>
    <t>9-5/8"@ 5012'</t>
  </si>
  <si>
    <t>9478-11858</t>
  </si>
  <si>
    <t>9414-11799</t>
  </si>
  <si>
    <t>11215-11350,4927-5062,3326-3430,1010-1136,0-15</t>
  </si>
  <si>
    <t>0907110001</t>
  </si>
  <si>
    <t>OG_161</t>
  </si>
  <si>
    <t>W E KIRCHHOFF JR ETUX #1</t>
  </si>
  <si>
    <t>EL,LATTERLOG-1INCH</t>
  </si>
  <si>
    <t>1S23 45S 24E</t>
  </si>
  <si>
    <t>26° 32' 52.99105" N</t>
  </si>
  <si>
    <t>81° 52' 24.8547" W</t>
  </si>
  <si>
    <t>1980'FNL&amp;660'FEL</t>
  </si>
  <si>
    <t>20"@ 104.11'</t>
  </si>
  <si>
    <t>13-3/8"@ 1017.11'</t>
  </si>
  <si>
    <t>9-5/8"@ 4272'</t>
  </si>
  <si>
    <t>7"@ 11820.20'</t>
  </si>
  <si>
    <t>5488-11904</t>
  </si>
  <si>
    <t>2325-12877</t>
  </si>
  <si>
    <t>9664-9780</t>
  </si>
  <si>
    <t>9479-9735,4196-4396,1030-1093,0-???</t>
  </si>
  <si>
    <t>0907110002</t>
  </si>
  <si>
    <t>OG_162</t>
  </si>
  <si>
    <t>RED CATTLE CO #1</t>
  </si>
  <si>
    <t>1S13 45S 28E</t>
  </si>
  <si>
    <t>26° 33' 57.00085" N</t>
  </si>
  <si>
    <t>81° 28' 5.38259" W</t>
  </si>
  <si>
    <t>2310'FNL&amp;330'FEL</t>
  </si>
  <si>
    <t>13-3/8"@ 101'</t>
  </si>
  <si>
    <t>9-5/8"@ 1440'</t>
  </si>
  <si>
    <t>10 sacks cement @ 1500'</t>
  </si>
  <si>
    <t>0905110002</t>
  </si>
  <si>
    <t>OG_163</t>
  </si>
  <si>
    <t>RED CATTLE CO #2</t>
  </si>
  <si>
    <t>1S25 45S 28E</t>
  </si>
  <si>
    <t>26° 32' 28.03441" N</t>
  </si>
  <si>
    <t>81° 28' 6.98545" W</t>
  </si>
  <si>
    <t>20"@ 67'</t>
  </si>
  <si>
    <t>13-3/8"@ 393'</t>
  </si>
  <si>
    <t>1398-1465,190-220,0-???( 10 sacks cmnt)</t>
  </si>
  <si>
    <t>0905110003</t>
  </si>
  <si>
    <t>Same Lat/Long as P# 191</t>
  </si>
  <si>
    <t>OG_164</t>
  </si>
  <si>
    <t>VERNON LAND &amp; TIMBER CO #3</t>
  </si>
  <si>
    <t>ES</t>
  </si>
  <si>
    <t>4S22 1N 15W</t>
  </si>
  <si>
    <t>30° 28' 26.72447" N</t>
  </si>
  <si>
    <t>85° 43' 44.04443" W</t>
  </si>
  <si>
    <t xml:space="preserve">1980'FSL&amp;1980'FEL </t>
  </si>
  <si>
    <t>8-5/8"@ 207'</t>
  </si>
  <si>
    <t>3878-4784</t>
  </si>
  <si>
    <t>3650-3750,1250-1350,0-???(25 sacks cmnt)</t>
  </si>
  <si>
    <t>0913310006</t>
  </si>
  <si>
    <t>OG_165</t>
  </si>
  <si>
    <t>STATE OF FLORIDA #1</t>
  </si>
  <si>
    <t>2S31 5N 26W</t>
  </si>
  <si>
    <t>30° 54' 4.93762" N</t>
  </si>
  <si>
    <t>86° 52' 51.63103" W</t>
  </si>
  <si>
    <t>10-3/4"@ 492</t>
  </si>
  <si>
    <t>1100-1200,442-492,0-50</t>
  </si>
  <si>
    <t>0911310007</t>
  </si>
  <si>
    <t>OG_166</t>
  </si>
  <si>
    <t>NATHAN APPLEMAN-CLINCH DRILLING CO</t>
  </si>
  <si>
    <t>STATE OF FLORIDA (USA) #1</t>
  </si>
  <si>
    <t>1S1 3N 27W</t>
  </si>
  <si>
    <t>30° 47' 44.01726" N</t>
  </si>
  <si>
    <t>86° 53' 42.01926" W</t>
  </si>
  <si>
    <t>10-3/4"@ 497</t>
  </si>
  <si>
    <t>1450-1600,480-530,0-15</t>
  </si>
  <si>
    <t>0911310008</t>
  </si>
  <si>
    <t>OG_167</t>
  </si>
  <si>
    <t>FORTY MILE BEND</t>
  </si>
  <si>
    <t>M B WISEHEART-STATE BOARD OF EDUCATION #1</t>
  </si>
  <si>
    <t>PRODUCER/P&amp;A</t>
  </si>
  <si>
    <t>4S16 54S 35E</t>
  </si>
  <si>
    <t>25° 45' 51.97759" N</t>
  </si>
  <si>
    <t>80° 49' 50.91182" W</t>
  </si>
  <si>
    <t xml:space="preserve">115'FSL&amp;1205'FEL </t>
  </si>
  <si>
    <t>20"@ 64'</t>
  </si>
  <si>
    <t>13-3/8"@ 649'</t>
  </si>
  <si>
    <t>9-5/8"@ 3527'</t>
  </si>
  <si>
    <t>7"@ 11555'</t>
  </si>
  <si>
    <t>2-7/8"@ 8994'</t>
  </si>
  <si>
    <t>3535-11551</t>
  </si>
  <si>
    <t>11314-11551</t>
  </si>
  <si>
    <t>76 BOPD</t>
  </si>
  <si>
    <t>5.7 MCF</t>
  </si>
  <si>
    <t>96 BWPD</t>
  </si>
  <si>
    <t>11322-11339</t>
  </si>
  <si>
    <t>11287-11159,699-599,25-0(10 sacks cmnt)</t>
  </si>
  <si>
    <t>0902510005</t>
  </si>
  <si>
    <t>40 Mile Bend Field discovery well</t>
  </si>
  <si>
    <t>OG_168</t>
  </si>
  <si>
    <t>HARBESON LD &amp; TMBR CO #1</t>
  </si>
  <si>
    <t>2S27 4N 20W</t>
  </si>
  <si>
    <t>30° 49' 7.6373" N</t>
  </si>
  <si>
    <t>86° 14' 15.73573" W</t>
  </si>
  <si>
    <t>8-5/8"@ 87'</t>
  </si>
  <si>
    <t>3916-4903</t>
  </si>
  <si>
    <t>3800-3900,1150-1250,0-???(5 sacks cmnt)</t>
  </si>
  <si>
    <t>0913110009</t>
  </si>
  <si>
    <t>OG_169</t>
  </si>
  <si>
    <t>HARBESON LAND &amp; TIMBER CO #2</t>
  </si>
  <si>
    <t>2S15 3N 19W</t>
  </si>
  <si>
    <t>30° 45' 45.45292" N</t>
  </si>
  <si>
    <t>86° 8' 13.16166" W</t>
  </si>
  <si>
    <t>8-5/8"@ 107'</t>
  </si>
  <si>
    <t>3916-4819</t>
  </si>
  <si>
    <t>3821-3971,57-107,0-5</t>
  </si>
  <si>
    <t>0913110010</t>
  </si>
  <si>
    <t>OG_170</t>
  </si>
  <si>
    <t>HANCOCK POWELL UNIT #1</t>
  </si>
  <si>
    <t>3S10 27S 16E</t>
  </si>
  <si>
    <t>28° 9' 5.0562" N</t>
  </si>
  <si>
    <t>82° 41' 58.93685" W</t>
  </si>
  <si>
    <t>2515'FSL&amp;125'FWL</t>
  </si>
  <si>
    <t>10-3/4"@ 247'</t>
  </si>
  <si>
    <t>6-5/8"@ 2247'</t>
  </si>
  <si>
    <t>4"@ 3695'</t>
  </si>
  <si>
    <t>150' plug @ 1004,25-0</t>
  </si>
  <si>
    <t>0910310005</t>
  </si>
  <si>
    <t>This hole was reentered in 1958,deepened and plugged and abandoned</t>
  </si>
  <si>
    <t>OG_171</t>
  </si>
  <si>
    <t>COLLIER CORP #B-2</t>
  </si>
  <si>
    <t>26° 23' 16.13587" N</t>
  </si>
  <si>
    <t>81° 11' 32.78677" W</t>
  </si>
  <si>
    <t>20"@ 98'</t>
  </si>
  <si>
    <t>13-3/8"@ 1421.46'</t>
  </si>
  <si>
    <t>9-5/8"@ 4359'</t>
  </si>
  <si>
    <t>5105-5681</t>
  </si>
  <si>
    <t>5624-6507</t>
  </si>
  <si>
    <t>8393-8493,5325-5370,5238-5327,4304-4404,1370-1470,0-???(25 sacks cmnt)</t>
  </si>
  <si>
    <t>0905110004</t>
  </si>
  <si>
    <t>same Lat/Long as P#133 ISSUE DATE : 7/14/1953 &amp; 6/25/1958</t>
  </si>
  <si>
    <t>OG_172</t>
  </si>
  <si>
    <t>MARY L ARNSPERGER #1</t>
  </si>
  <si>
    <t>4S35 1S 12W</t>
  </si>
  <si>
    <t>30° 21' 14.78286" N</t>
  </si>
  <si>
    <t>85° 24' 41.82415" W</t>
  </si>
  <si>
    <t>8-5/8"@ 148'</t>
  </si>
  <si>
    <t>4412-4457</t>
  </si>
  <si>
    <t>3640-3540, 1550-1450, 12 SX SURFACE PLUG</t>
  </si>
  <si>
    <t>0900510003</t>
  </si>
  <si>
    <t>OG_173</t>
  </si>
  <si>
    <t>GREGG LUMBER CO #1</t>
  </si>
  <si>
    <t>3S14 3S 13W</t>
  </si>
  <si>
    <t>30° 13' 14.88014" N</t>
  </si>
  <si>
    <t>85° 31' 16.65149" W</t>
  </si>
  <si>
    <t xml:space="preserve">660'FSL&amp;660'FWL </t>
  </si>
  <si>
    <t>12"@ 41'</t>
  </si>
  <si>
    <t>8-5/8"@ 229'</t>
  </si>
  <si>
    <t>3909-4913</t>
  </si>
  <si>
    <t>1800-1700,800-700,254-205, 5 SX SURFACE PLUG</t>
  </si>
  <si>
    <t>0900510004</t>
  </si>
  <si>
    <t>OG_174</t>
  </si>
  <si>
    <t>NEAL L &amp; M #1</t>
  </si>
  <si>
    <t>1S33 1N 10W</t>
  </si>
  <si>
    <t>30° 26' 33.47293" N</t>
  </si>
  <si>
    <t>85° 14' 29.36717" W</t>
  </si>
  <si>
    <t>13-3/8"@ 87</t>
  </si>
  <si>
    <t>8-5/8"@ 174'</t>
  </si>
  <si>
    <t>1600-1750,140-190,0-??? (8 sacks cmnt)</t>
  </si>
  <si>
    <t>0901310008</t>
  </si>
  <si>
    <t>OG_175</t>
  </si>
  <si>
    <t>CLINCH DRILLING CO</t>
  </si>
  <si>
    <t>USA #1</t>
  </si>
  <si>
    <t>1S8 5N 26W</t>
  </si>
  <si>
    <t>30° 57' 28.13274" N</t>
  </si>
  <si>
    <t>86° 51' 30.25876" W</t>
  </si>
  <si>
    <t xml:space="preserve">982'FNL&amp;1640'FEL </t>
  </si>
  <si>
    <t>1400-1550,475-525,0-15</t>
  </si>
  <si>
    <t>0911310009</t>
  </si>
  <si>
    <t>OG_176</t>
  </si>
  <si>
    <t>JOHNNIE GRISWOLD #1</t>
  </si>
  <si>
    <t>3S33 5N 28W</t>
  </si>
  <si>
    <t>30° 53' 37.94309" N</t>
  </si>
  <si>
    <t>87° 3' 18.18518" W</t>
  </si>
  <si>
    <t xml:space="preserve">330'FSL&amp;330'FWL </t>
  </si>
  <si>
    <t>10-3/4"@ 401</t>
  </si>
  <si>
    <t>1300-1450,350-450,0-20</t>
  </si>
  <si>
    <t>0911310010</t>
  </si>
  <si>
    <t>OG_177</t>
  </si>
  <si>
    <t>2S5 5N 25W</t>
  </si>
  <si>
    <t>30° 58' 0.67134" N</t>
  </si>
  <si>
    <t>86° 45' 44.95136" W</t>
  </si>
  <si>
    <t xml:space="preserve">1650'FNL&amp;2310'FWL </t>
  </si>
  <si>
    <t>10-3/4"@ 507</t>
  </si>
  <si>
    <t>1275-1425,480-530,0-15</t>
  </si>
  <si>
    <t>0909110005</t>
  </si>
  <si>
    <t>OG_178</t>
  </si>
  <si>
    <t>CHARLOTTE</t>
  </si>
  <si>
    <t>VANDERBILT #1</t>
  </si>
  <si>
    <t>EL DIL MUD</t>
  </si>
  <si>
    <t>1S35 41S 21E</t>
  </si>
  <si>
    <t>26° 52' 14.13304" N</t>
  </si>
  <si>
    <t>82° 10' 50.94505" W</t>
  </si>
  <si>
    <t xml:space="preserve">690'FNL&amp;1964'FEL </t>
  </si>
  <si>
    <t>20"@ 147'</t>
  </si>
  <si>
    <t>13-3/8"@ 1129'</t>
  </si>
  <si>
    <t>9-5/8"@ 5051'</t>
  </si>
  <si>
    <t>5502-11464</t>
  </si>
  <si>
    <t>11220-11085,5100-4971,3210-3110,1178-1078,0-??(20 sks cmnt)</t>
  </si>
  <si>
    <t>0901510002</t>
  </si>
  <si>
    <t>OG_179</t>
  </si>
  <si>
    <t>J W KELLY ETAL #1</t>
  </si>
  <si>
    <t>3S24 4N 26W</t>
  </si>
  <si>
    <t>30° 50' 8.89177" N</t>
  </si>
  <si>
    <t>86° 48' 9.51919" W</t>
  </si>
  <si>
    <t>2310'FSL990'FWL</t>
  </si>
  <si>
    <t>9-5/8"@ 503'</t>
  </si>
  <si>
    <t>1500-1656,460-535,0-??( 8 sacks cmnt)</t>
  </si>
  <si>
    <t>0911310011</t>
  </si>
  <si>
    <t>OG_180</t>
  </si>
  <si>
    <t>A R TEMPLE ETAL</t>
  </si>
  <si>
    <t>4S14 7S 5W</t>
  </si>
  <si>
    <t>29° 51' 49.21304" N</t>
  </si>
  <si>
    <t>84° 42' 18.69764" W</t>
  </si>
  <si>
    <t>16"@ 92'</t>
  </si>
  <si>
    <t>10-3/4"@ 1060'</t>
  </si>
  <si>
    <t>1100-1000,20-4</t>
  </si>
  <si>
    <t>0903710007</t>
  </si>
  <si>
    <t>OG_181</t>
  </si>
  <si>
    <t>STATE OF FLORIDA-833 #1</t>
  </si>
  <si>
    <t>2S23 1S 28W</t>
  </si>
  <si>
    <t>30° 28' 27.1249" N</t>
  </si>
  <si>
    <t>87° 5' 37.65523" W</t>
  </si>
  <si>
    <t xml:space="preserve">660'FSL&amp;2841'FEL </t>
  </si>
  <si>
    <t xml:space="preserve">660'FSL&amp;3370'FEL </t>
  </si>
  <si>
    <t>16"@ 72'</t>
  </si>
  <si>
    <t>10-3/4"@ 723'</t>
  </si>
  <si>
    <t>675-775,0-???(5 sacks cmnt)</t>
  </si>
  <si>
    <t>0911310012</t>
  </si>
  <si>
    <t>OG_182</t>
  </si>
  <si>
    <t>STATE OF FLORIDA-340 #1</t>
  </si>
  <si>
    <t>EL TL</t>
  </si>
  <si>
    <t>MIICOSUKEE IN RESERVATION</t>
  </si>
  <si>
    <t>3S18 54S 35E</t>
  </si>
  <si>
    <t>25° 45' 51.6267" N</t>
  </si>
  <si>
    <t>80° 52' 16.42145" W</t>
  </si>
  <si>
    <t xml:space="preserve">150'FSL&amp;660'FWL </t>
  </si>
  <si>
    <t>20"@ 154'</t>
  </si>
  <si>
    <t>13-3/8"@ 1049'</t>
  </si>
  <si>
    <t>9-5/8"@ 5004'</t>
  </si>
  <si>
    <t>7"@ 11340'</t>
  </si>
  <si>
    <t>2-7/8"@ 11309'</t>
  </si>
  <si>
    <t>9218-11339</t>
  </si>
  <si>
    <t>11334-11352</t>
  </si>
  <si>
    <t>91 BOPD</t>
  </si>
  <si>
    <t>4.6 MCF</t>
  </si>
  <si>
    <t>420 BWPD</t>
  </si>
  <si>
    <t>OH 11340-11352</t>
  </si>
  <si>
    <t>11300-11172,1103-999,0-???(10 sacks cmnt)</t>
  </si>
  <si>
    <t>0902510006</t>
  </si>
  <si>
    <t>OG_183</t>
  </si>
  <si>
    <t>THE BRITISH-AMERICAN OIL PROD CO</t>
  </si>
  <si>
    <t>W S ROSASCO #1</t>
  </si>
  <si>
    <t>4S24 4N 28W</t>
  </si>
  <si>
    <t>30° 50' 24.89219" N</t>
  </si>
  <si>
    <t>86° 59' 41.53175" W</t>
  </si>
  <si>
    <t>2310'FSL&amp;1650'FEL</t>
  </si>
  <si>
    <t>9-5/8"@ 527'</t>
  </si>
  <si>
    <t>1200-1300,500-550,0-15</t>
  </si>
  <si>
    <t>0911310013</t>
  </si>
  <si>
    <t>OG_184</t>
  </si>
  <si>
    <t>E L JORDAN #2</t>
  </si>
  <si>
    <t>3S32 1N 11W</t>
  </si>
  <si>
    <t>30° 26' 14.01958" N</t>
  </si>
  <si>
    <t>85° 21' 36.87113" W</t>
  </si>
  <si>
    <t xml:space="preserve">660'FSL&amp;1930'FEL </t>
  </si>
  <si>
    <t>16"@ 152.22'</t>
  </si>
  <si>
    <t>9-5/8"@ 200'</t>
  </si>
  <si>
    <t>7"@ 689'</t>
  </si>
  <si>
    <t>3500-3630,1670-1800,0-???(10 sacks cmnt)</t>
  </si>
  <si>
    <t>0901310009</t>
  </si>
  <si>
    <t>OG_185</t>
  </si>
  <si>
    <t>MCRAE LAND &amp; TIMBER CO #2</t>
  </si>
  <si>
    <t>2S9 6N 11W</t>
  </si>
  <si>
    <t>30° 56' 23.28994" N</t>
  </si>
  <si>
    <t>85° 20' 35.81722" W</t>
  </si>
  <si>
    <t>1980'FNL&amp;560'FWL</t>
  </si>
  <si>
    <t>9-5/8"@ 486'</t>
  </si>
  <si>
    <t>2770-2900,1420-1550,420-550,0-???(10 sacks cmnt)</t>
  </si>
  <si>
    <t>0906310004</t>
  </si>
  <si>
    <t>OG_186</t>
  </si>
  <si>
    <t>BRADY BELCHER INTERESTS INC #2</t>
  </si>
  <si>
    <t>2S28 4N 22W</t>
  </si>
  <si>
    <t>30° 49' 1.53678" N</t>
  </si>
  <si>
    <t>86° 27' 4.4078" W</t>
  </si>
  <si>
    <t>1980'FNL&amp;1980'FWL</t>
  </si>
  <si>
    <t>9-5/8"@ 429'</t>
  </si>
  <si>
    <t>4200-4330,1450-1580,375-505,0-???(10 sacks cmnt)</t>
  </si>
  <si>
    <t>0909110006</t>
  </si>
  <si>
    <t>OG_187</t>
  </si>
  <si>
    <t>HENRY ELLIOTT JR #1</t>
  </si>
  <si>
    <t>3S25 3N 27W</t>
  </si>
  <si>
    <t>30° 44' 0.05204" N</t>
  </si>
  <si>
    <t>86° 54' 20.41866" W</t>
  </si>
  <si>
    <t>990'FSL&amp;990'FWL</t>
  </si>
  <si>
    <t>10-3/4"@ 475</t>
  </si>
  <si>
    <t>6039-6139,1400-1500,0-10</t>
  </si>
  <si>
    <t>0911310014</t>
  </si>
  <si>
    <t>OG_188</t>
  </si>
  <si>
    <t>LYLE CASHION CO-STANLEY-DAWS</t>
  </si>
  <si>
    <t>T A YAWKEY ETAL #B-1</t>
  </si>
  <si>
    <t>2S1 4N 17W</t>
  </si>
  <si>
    <t>30° 47' 20.86156" N</t>
  </si>
  <si>
    <t>85° 53' 42.36018" W</t>
  </si>
  <si>
    <t>16"@ 93.63'</t>
  </si>
  <si>
    <t>9-5/8"@ 409'</t>
  </si>
  <si>
    <t>850-950,375-425,0-???(7 sacks cmnt)</t>
  </si>
  <si>
    <t>0905910003</t>
  </si>
  <si>
    <t>OG_189</t>
  </si>
  <si>
    <t>FRANCES E RUSSELL ETAL #1</t>
  </si>
  <si>
    <t>2S32 5N 16W</t>
  </si>
  <si>
    <t>30° 48' 13.16412" N</t>
  </si>
  <si>
    <t>85° 51' 41.67353" W</t>
  </si>
  <si>
    <t xml:space="preserve">660'FNL&amp;2030'FWL </t>
  </si>
  <si>
    <t>16"@ 67.50'</t>
  </si>
  <si>
    <t>10-3/4"@ 411</t>
  </si>
  <si>
    <t>800-900,375-425,0-???(10 sacks cmnt)</t>
  </si>
  <si>
    <t>0905910004</t>
  </si>
  <si>
    <t>OG_190</t>
  </si>
  <si>
    <t>PASCO</t>
  </si>
  <si>
    <t>R E SKINNER &amp; WEBB C CLARKE</t>
  </si>
  <si>
    <t>BOYD-MITCHELL UNIT #1</t>
  </si>
  <si>
    <t>3S31 26S 17E</t>
  </si>
  <si>
    <t>28° 10' 25.14598" N</t>
  </si>
  <si>
    <t>82° 38' 49.88627" W</t>
  </si>
  <si>
    <t>90'FSL&amp;820'FWL</t>
  </si>
  <si>
    <t>10"@ 43'</t>
  </si>
  <si>
    <t>0910110001</t>
  </si>
  <si>
    <t>Converted to water well (approved by board 8-26-1957)</t>
  </si>
  <si>
    <t>OG_191</t>
  </si>
  <si>
    <t>RED CATTLE #3</t>
  </si>
  <si>
    <t>EL ES GR</t>
  </si>
  <si>
    <t>26° 32' 28.08024" N</t>
  </si>
  <si>
    <t>81° 28' 6.97508" W</t>
  </si>
  <si>
    <t>13-3/8"@ 1147</t>
  </si>
  <si>
    <t>9-5/8"@ 4078'</t>
  </si>
  <si>
    <t>11435-11492</t>
  </si>
  <si>
    <t>1090' oil</t>
  </si>
  <si>
    <t>9060' SW</t>
  </si>
  <si>
    <t>11465-11668,3550-3614,1100-1129,0-10,</t>
  </si>
  <si>
    <t>0905110005</t>
  </si>
  <si>
    <t>Same Lat/Long as P# 163(191 drill 135 feet from P#163 J&amp;A'd hole)</t>
  </si>
  <si>
    <t>OG_192</t>
  </si>
  <si>
    <t>HARBESON-WRIGHT #1</t>
  </si>
  <si>
    <t>4S13 4N 22W</t>
  </si>
  <si>
    <t>30° 56' 19.01785" N</t>
  </si>
  <si>
    <t>86° 23' 48.81412" W</t>
  </si>
  <si>
    <t>9-5/8"@ 325'</t>
  </si>
  <si>
    <t>4110-4035,1250-1325,300-375,0-???(5 sacks cmnt)</t>
  </si>
  <si>
    <t>0909110007</t>
  </si>
  <si>
    <t>OG_193</t>
  </si>
  <si>
    <t>H L HAWKINS</t>
  </si>
  <si>
    <t>C L KELLY &amp; MATTIE M KELLY #1</t>
  </si>
  <si>
    <t>T2S R22W</t>
  </si>
  <si>
    <t>30° 24' 34.52177" N</t>
  </si>
  <si>
    <t>86° 28' 58.92553" W</t>
  </si>
  <si>
    <t>SEE PLAT FOR LOCATION</t>
  </si>
  <si>
    <t>9-5/8"@ 596'</t>
  </si>
  <si>
    <t>1350-1450,546-646,0-10</t>
  </si>
  <si>
    <t>0909110008</t>
  </si>
  <si>
    <t>OG_194</t>
  </si>
  <si>
    <t>MARY E LISTER #1</t>
  </si>
  <si>
    <t>3S33 5S 9W</t>
  </si>
  <si>
    <t>30° 0' 10.71709" N</t>
  </si>
  <si>
    <t>85° 8' 58.7035" W</t>
  </si>
  <si>
    <t>1980'FSL &amp; 1980'FWL</t>
  </si>
  <si>
    <t>12"@ 85'</t>
  </si>
  <si>
    <t>8-5/8"@ 378'</t>
  </si>
  <si>
    <t>750-900,0-30</t>
  </si>
  <si>
    <t>0904510005</t>
  </si>
  <si>
    <t>OG_195</t>
  </si>
  <si>
    <t>2S16 2S 10W</t>
  </si>
  <si>
    <t>30° 18' 55.68617" N</t>
  </si>
  <si>
    <t>85° 15' 5.03003" W</t>
  </si>
  <si>
    <t>12"@ 168'</t>
  </si>
  <si>
    <t>8-5/8"@ 317'</t>
  </si>
  <si>
    <t>3990-4090,860-960,290-340,0-??(5 sacks cmnt)</t>
  </si>
  <si>
    <t>0901310010</t>
  </si>
  <si>
    <t>OG_196</t>
  </si>
  <si>
    <t>H D LYNN #1</t>
  </si>
  <si>
    <t>4S9 1N 27W</t>
  </si>
  <si>
    <t>30° 36' 25.27416" N</t>
  </si>
  <si>
    <t>86° 56' 55.69814" W</t>
  </si>
  <si>
    <t>10-3/4"@ 796</t>
  </si>
  <si>
    <t>1350-1450,678-876,0-30</t>
  </si>
  <si>
    <t>0911310015</t>
  </si>
  <si>
    <t>OG_197</t>
  </si>
  <si>
    <t>USA #3</t>
  </si>
  <si>
    <t>2S18 5N 26W</t>
  </si>
  <si>
    <t>30° 56' 28.96274" N</t>
  </si>
  <si>
    <t>86° 53' 4.55802" W</t>
  </si>
  <si>
    <t>1980'FNL&amp;690'FWL</t>
  </si>
  <si>
    <t>9-5/8"@ 532.38'</t>
  </si>
  <si>
    <t>1250-1400,0-25</t>
  </si>
  <si>
    <t>0911310016</t>
  </si>
  <si>
    <t>OG_198</t>
  </si>
  <si>
    <t>TRMMCI BLOCK #5 #9</t>
  </si>
  <si>
    <t>2S18 5N 28W</t>
  </si>
  <si>
    <t>30° 56' 57.24056" N</t>
  </si>
  <si>
    <t>87° 5' 10.5202" W</t>
  </si>
  <si>
    <t>660'FNL&amp;657'FWL</t>
  </si>
  <si>
    <t>10-3/4"@ 530</t>
  </si>
  <si>
    <t>1800-1900,530-630,0-???(5 sacks cmnt)</t>
  </si>
  <si>
    <t>0911310017</t>
  </si>
  <si>
    <t>OG_199</t>
  </si>
  <si>
    <t>SPHINX SYNDICATE</t>
  </si>
  <si>
    <t>EL GR</t>
  </si>
  <si>
    <t>4S31 13S 16E</t>
  </si>
  <si>
    <t>29° 18' 24.51002" N</t>
  </si>
  <si>
    <t>82° 44' 46.79671" W</t>
  </si>
  <si>
    <t>2310'FSL&amp;2310'FEL</t>
  </si>
  <si>
    <t>16"@ 52'</t>
  </si>
  <si>
    <t>10-3/4"@ 639'</t>
  </si>
  <si>
    <t>7"@ 3512'</t>
  </si>
  <si>
    <t>3372-3472,2100-2300,1508-1940,485-890,324-380,114-324,4-114</t>
  </si>
  <si>
    <t>0907510008</t>
  </si>
  <si>
    <t>Replugged in 2003 by the State of Florida</t>
  </si>
  <si>
    <t>OG_200</t>
  </si>
  <si>
    <t>USA #2</t>
  </si>
  <si>
    <t>2S23 3N 26W</t>
  </si>
  <si>
    <t>30° 45' 23.37394" N</t>
  </si>
  <si>
    <t>86° 49' 3.50731" W</t>
  </si>
  <si>
    <t>330'FNL&amp;2310'FWL</t>
  </si>
  <si>
    <t>8-5/8"@ 520.48'</t>
  </si>
  <si>
    <t>1400-1550,350-500,0-25</t>
  </si>
  <si>
    <t>0911310018</t>
  </si>
  <si>
    <t>OG_201</t>
  </si>
  <si>
    <t>3S4 4N 14W</t>
  </si>
  <si>
    <t>30° 46' 43.29685" N</t>
  </si>
  <si>
    <t>85° 38' 55.18874" W</t>
  </si>
  <si>
    <t>1980'FSL&amp;661'FWL</t>
  </si>
  <si>
    <t>12"@ 212'</t>
  </si>
  <si>
    <t>8-5/8"@ 484'</t>
  </si>
  <si>
    <t>1125-1225,0-???(5 sacks cmnt)</t>
  </si>
  <si>
    <t>0905910005</t>
  </si>
  <si>
    <t>OG_202</t>
  </si>
  <si>
    <t>J M BOLAND #1</t>
  </si>
  <si>
    <t>EL ML</t>
  </si>
  <si>
    <t>3S7 1N 27W</t>
  </si>
  <si>
    <t>30° 36' 15.0314" N</t>
  </si>
  <si>
    <t>86° 59' 24.93557" W</t>
  </si>
  <si>
    <t>660'FSL&amp;2015'FWL</t>
  </si>
  <si>
    <t>10-3/4"@ 801</t>
  </si>
  <si>
    <t>1250-1350,701-901,0-30</t>
  </si>
  <si>
    <t>0911310019</t>
  </si>
  <si>
    <t>OG_203</t>
  </si>
  <si>
    <t>THOMAS A YAWKEY #1</t>
  </si>
  <si>
    <t>1S5 4N 18W</t>
  </si>
  <si>
    <t>30° 52' 41.99437" N</t>
  </si>
  <si>
    <t>86° 3' 19.47503" W</t>
  </si>
  <si>
    <t>9-5/8"@ 336.41'</t>
  </si>
  <si>
    <t>1200-1350,0-10</t>
  </si>
  <si>
    <t>0913110011</t>
  </si>
  <si>
    <t>OG_204</t>
  </si>
  <si>
    <t>MABEL D BAUER #1</t>
  </si>
  <si>
    <t>1S5 3S 31W</t>
  </si>
  <si>
    <t>30° 22' 22.57" N</t>
  </si>
  <si>
    <t>87° 21' 14.81" W</t>
  </si>
  <si>
    <t>660'FNL&amp;4620'FWL of Sec. 8</t>
  </si>
  <si>
    <t>10-3/4"@ 824</t>
  </si>
  <si>
    <t>725-925,0-30</t>
  </si>
  <si>
    <t>0903310005</t>
  </si>
  <si>
    <t>OG_205</t>
  </si>
  <si>
    <t>STATE OF FLORIDA-340 #2</t>
  </si>
  <si>
    <t>2S19 54S 36E</t>
  </si>
  <si>
    <t>25° 45' 27.91033" N</t>
  </si>
  <si>
    <t>80° 46' 20.38609" W</t>
  </si>
  <si>
    <t>1980'FNL&amp;1958'FWL</t>
  </si>
  <si>
    <t>13-3/8"@ 1072</t>
  </si>
  <si>
    <t>9-5/8"@ 5005'</t>
  </si>
  <si>
    <t>11300-11597</t>
  </si>
  <si>
    <t>11490-11592</t>
  </si>
  <si>
    <t>33' oil</t>
  </si>
  <si>
    <t>402' SW</t>
  </si>
  <si>
    <t>11300-11250,4950-5000,0-???(25 sacks cmnt)</t>
  </si>
  <si>
    <t>0902510007</t>
  </si>
  <si>
    <t>OG_206</t>
  </si>
  <si>
    <t>DOROTHY B CAFFEEIN #1</t>
  </si>
  <si>
    <t>1S14 2S 21W</t>
  </si>
  <si>
    <t>30° 25' 3.80878" N</t>
  </si>
  <si>
    <t>86° 18' 52.14726" W</t>
  </si>
  <si>
    <t>8-5/8"@ 533'</t>
  </si>
  <si>
    <t>1250-1400,0-15</t>
  </si>
  <si>
    <t>0913110012</t>
  </si>
  <si>
    <t>OG_207</t>
  </si>
  <si>
    <t>CONSOLIDATED NAVAL STORES #1</t>
  </si>
  <si>
    <t>LL</t>
  </si>
  <si>
    <t>4S5 45S 29E</t>
  </si>
  <si>
    <t>26° 35' 26.21994" N</t>
  </si>
  <si>
    <t>81° 26' 21.57101" W</t>
  </si>
  <si>
    <t>660'FSL&amp;760'FEL</t>
  </si>
  <si>
    <t>20" @ 123.43'</t>
  </si>
  <si>
    <t>13-3/8"@ 1941.90</t>
  </si>
  <si>
    <t>9-5/8"@ 4329.90'</t>
  </si>
  <si>
    <t>5473-11375</t>
  </si>
  <si>
    <t>5515-11426</t>
  </si>
  <si>
    <t>11310-11594,4230-4430,1890-1990,0-???(50 sacks cmnt)</t>
  </si>
  <si>
    <t>0905110006</t>
  </si>
  <si>
    <t>First hole collapsed and rig skidded 100'. First hole plugged 1175-1300, 0-???(25sacks cmnt)</t>
  </si>
  <si>
    <t>OG_208</t>
  </si>
  <si>
    <t>THOMAS E WALTON #1</t>
  </si>
  <si>
    <t>2S13 45S 24E</t>
  </si>
  <si>
    <t>26° 33' 59.26068" N</t>
  </si>
  <si>
    <t>81° 52' 15.03685" W</t>
  </si>
  <si>
    <t>582'FNL&amp;380'FWL</t>
  </si>
  <si>
    <t>16"@ 101'</t>
  </si>
  <si>
    <t>10-3/4"@ 959</t>
  </si>
  <si>
    <t>5489-5518</t>
  </si>
  <si>
    <t>2050-2200,925-1050,0-15</t>
  </si>
  <si>
    <t>0907110003</t>
  </si>
  <si>
    <t>OG_209</t>
  </si>
  <si>
    <t>STATE OF FLORIDA-730 #1</t>
  </si>
  <si>
    <t>ENP</t>
  </si>
  <si>
    <t>4S18 54S 36E</t>
  </si>
  <si>
    <t>25° 45' 48.73482" N</t>
  </si>
  <si>
    <t>80° 47' 3.37254" W</t>
  </si>
  <si>
    <t xml:space="preserve">150'FSL&amp;1980'FEL </t>
  </si>
  <si>
    <t>0902510008</t>
  </si>
  <si>
    <t>OG_210</t>
  </si>
  <si>
    <t>STATE OF FLORIDA-362 #1</t>
  </si>
  <si>
    <t>1S11 60S 39E</t>
  </si>
  <si>
    <t>25° 13' 37.37694" N</t>
  </si>
  <si>
    <t>80° 23' 47.25931" W</t>
  </si>
  <si>
    <t>0908710007</t>
  </si>
  <si>
    <t>OG_211</t>
  </si>
  <si>
    <t>BABCOCK FLORIDA CO #1</t>
  </si>
  <si>
    <t>2S29 42S 27E</t>
  </si>
  <si>
    <t>26° 47' 34.08194" N</t>
  </si>
  <si>
    <t>81° 38' 26.82989" W</t>
  </si>
  <si>
    <t xml:space="preserve">2010'FNL&amp;1981'FWL </t>
  </si>
  <si>
    <t>0901510003</t>
  </si>
  <si>
    <t>OG_212</t>
  </si>
  <si>
    <t>D W BAILEY #1</t>
  </si>
  <si>
    <t>2S1 4N 29W</t>
  </si>
  <si>
    <t>30° 53' 19.1648" N</t>
  </si>
  <si>
    <t>87° 6' 1.38481" W</t>
  </si>
  <si>
    <t>1980'FNL &amp; 1980'FWL</t>
  </si>
  <si>
    <t>10-3/4"@ 752</t>
  </si>
  <si>
    <t>1300-1400,700-800,0-15</t>
  </si>
  <si>
    <t>0911310020</t>
  </si>
  <si>
    <t>OG_213</t>
  </si>
  <si>
    <t>POLK</t>
  </si>
  <si>
    <t>TSCHETTER OIL DEVELOPMENT CO</t>
  </si>
  <si>
    <t>J H TISON ETAL #1</t>
  </si>
  <si>
    <t>2S21 28S 25E</t>
  </si>
  <si>
    <t>28° 2' 6.03629" N</t>
  </si>
  <si>
    <t>81° 49' 24.23575" W</t>
  </si>
  <si>
    <t xml:space="preserve">1980'FNL&amp;660'FWL </t>
  </si>
  <si>
    <t>10"@ 72'</t>
  </si>
  <si>
    <t>8"@ 615'</t>
  </si>
  <si>
    <t>25-0</t>
  </si>
  <si>
    <t>0910510001</t>
  </si>
  <si>
    <t>OG_214</t>
  </si>
  <si>
    <t>STATE OF FLORIDA-340 #3</t>
  </si>
  <si>
    <t>25° 45' 32.11344" N</t>
  </si>
  <si>
    <t>80° 46' 36.81404" W</t>
  </si>
  <si>
    <t>1542'FNL&amp;452FWL</t>
  </si>
  <si>
    <t>20"@ 150'</t>
  </si>
  <si>
    <t>13-3/8"@ 1058</t>
  </si>
  <si>
    <t>9-5/8"@ 5031'</t>
  </si>
  <si>
    <t>11300-11565</t>
  </si>
  <si>
    <t>11342-11346</t>
  </si>
  <si>
    <t xml:space="preserve">30' oil </t>
  </si>
  <si>
    <t>2370' SW</t>
  </si>
  <si>
    <t xml:space="preserve">11200-11300,5081-4981,1000-900,0-??(5 sacks cmnt) </t>
  </si>
  <si>
    <t>0902510009</t>
  </si>
  <si>
    <t>OG_215</t>
  </si>
  <si>
    <t>CLEVELAND H BRAY ETAL #1</t>
  </si>
  <si>
    <t>2S11 5N 29W</t>
  </si>
  <si>
    <t>30° 57' 46.02791" N</t>
  </si>
  <si>
    <t>87° 9' 11.11342" W</t>
  </si>
  <si>
    <t>1877'FNL&amp;657'FWL</t>
  </si>
  <si>
    <t>10-3/4"@ 601</t>
  </si>
  <si>
    <t>1450-1600,550-650,0-??(5 sacks cmnt)</t>
  </si>
  <si>
    <t>0911310021</t>
  </si>
  <si>
    <t>OG_216</t>
  </si>
  <si>
    <t>4S32 1S 10W</t>
  </si>
  <si>
    <t>30° 21' 7.9236" N</t>
  </si>
  <si>
    <t>85° 15' 33.6222" W</t>
  </si>
  <si>
    <t>12"@ 151'</t>
  </si>
  <si>
    <t>8-5/8"@ 305'</t>
  </si>
  <si>
    <t>1300-1400,260-340,0-10</t>
  </si>
  <si>
    <t>0901310011</t>
  </si>
  <si>
    <t>OG_217</t>
  </si>
  <si>
    <t>JUSTISS-MEARS OIL CO INC &amp; HAMILTON-ARMOUR</t>
  </si>
  <si>
    <t>ESTES TIMBER CO #1</t>
  </si>
  <si>
    <t>1S10 2N 27W</t>
  </si>
  <si>
    <t>30° 41' 59.69674" N</t>
  </si>
  <si>
    <t>86° 55' 44.2844" W</t>
  </si>
  <si>
    <t>10-3/4"@ 516</t>
  </si>
  <si>
    <t>1350-1450,450-550,0-??(5 sacks cmnt)</t>
  </si>
  <si>
    <t>0911310022</t>
  </si>
  <si>
    <t>OG_218</t>
  </si>
  <si>
    <t>MCRAE LAND &amp; TIMBER CO #3</t>
  </si>
  <si>
    <t>4S25 6N 11W</t>
  </si>
  <si>
    <t>30° 53' 31.41874" N</t>
  </si>
  <si>
    <t>85° 17' 3.15575" W</t>
  </si>
  <si>
    <t>16"@ 42'</t>
  </si>
  <si>
    <t>9-5/8"@ 322.21'</t>
  </si>
  <si>
    <t>2775-2850,1525-1600,280-355,0-???(5 sacks cmnt)</t>
  </si>
  <si>
    <t>0906310005</t>
  </si>
  <si>
    <t>OG_219</t>
  </si>
  <si>
    <t>BRADY BELCHER INTERESTS INC #3</t>
  </si>
  <si>
    <t>2S33 4N 21W</t>
  </si>
  <si>
    <t>30° 48' 8.50644" N</t>
  </si>
  <si>
    <t>86° 21' 18.08464" W</t>
  </si>
  <si>
    <t>16"@ 137'</t>
  </si>
  <si>
    <t>9-5/8"@ 400'</t>
  </si>
  <si>
    <t>4100-4175,1750-1825,360-435,0-???(5 sacks cmnt)</t>
  </si>
  <si>
    <t>0913110013</t>
  </si>
  <si>
    <t>OG_220</t>
  </si>
  <si>
    <t>ROSASCO ETAL #1</t>
  </si>
  <si>
    <t>3S30 4N 28W</t>
  </si>
  <si>
    <t>30° 49' 31.79168" N</t>
  </si>
  <si>
    <t>87° 5' 25.30104" W</t>
  </si>
  <si>
    <t>1650'FSL&amp;330'FWL</t>
  </si>
  <si>
    <t>10-3/4"@ 630</t>
  </si>
  <si>
    <t>1550-1650,550-650,0-???(5 sacks cmnt)</t>
  </si>
  <si>
    <t>0911310023</t>
  </si>
  <si>
    <t>OG_221</t>
  </si>
  <si>
    <t>E L JORDAN ETAL #3</t>
  </si>
  <si>
    <t>1S3 1S 12W</t>
  </si>
  <si>
    <t>30° 25' 49.90037" N</t>
  </si>
  <si>
    <t>85° 25' 21.11988" W</t>
  </si>
  <si>
    <t xml:space="preserve">1980'FNL&amp;660'FEL </t>
  </si>
  <si>
    <t>16"@ 157'</t>
  </si>
  <si>
    <t>9-5/8"@ 483'</t>
  </si>
  <si>
    <t>3700-3625,1775-1700,520-445,20-0(5 sacks cmnt)</t>
  </si>
  <si>
    <t>0900510005</t>
  </si>
  <si>
    <t>OG_222</t>
  </si>
  <si>
    <t>J A CURREY OIL CO #1</t>
  </si>
  <si>
    <t>2S8 47S 29E</t>
  </si>
  <si>
    <t>26° 24' 22.92383" N</t>
  </si>
  <si>
    <t>81° 26' 40.87568" W</t>
  </si>
  <si>
    <t xml:space="preserve">1650'FNL&amp;1650'FWL </t>
  </si>
  <si>
    <t>30"@ 76'</t>
  </si>
  <si>
    <t>20"@254'</t>
  </si>
  <si>
    <t>13-3/8"@ 1429'</t>
  </si>
  <si>
    <t>9-5/8"@ 4499'</t>
  </si>
  <si>
    <t>5535-11906</t>
  </si>
  <si>
    <t>11380-11580,4400-4600,1300-1500,0-???(40 sacks cmnt)</t>
  </si>
  <si>
    <t>0902110030</t>
  </si>
  <si>
    <t>Replugged March 2005 new plugs @ 0-158,304-440,709-845,940-2305</t>
  </si>
  <si>
    <t>OG_223</t>
  </si>
  <si>
    <t>A R TEMPLE</t>
  </si>
  <si>
    <t>ED LEIGH MCMILLAN ETAL #1</t>
  </si>
  <si>
    <t>4S34 6N 29W</t>
  </si>
  <si>
    <t>30° 59' 3.59142" N</t>
  </si>
  <si>
    <t>87° 9' 14.02312" W</t>
  </si>
  <si>
    <t>8-5/8"@ 414'</t>
  </si>
  <si>
    <t>950-1100,350-450,0-???(6 sacks cmnt)</t>
  </si>
  <si>
    <t>0911310024</t>
  </si>
  <si>
    <t>OG_224</t>
  </si>
  <si>
    <t>TRMMCI #1</t>
  </si>
  <si>
    <t>4S37 6N 29W</t>
  </si>
  <si>
    <t>30° 59' 9.04445" N</t>
  </si>
  <si>
    <t>87° 9' 24.831" W</t>
  </si>
  <si>
    <t>8-5/8"@ 400'</t>
  </si>
  <si>
    <t>1400-1550,350-450,0-???(5 sacks cmnt)</t>
  </si>
  <si>
    <t>0911310025</t>
  </si>
  <si>
    <t>Hole reentered in 1970. Deepened to 15,939. New plugS from 2286-2729,0-30 only.</t>
  </si>
  <si>
    <t>OG_225</t>
  </si>
  <si>
    <t>HIGHLANDS</t>
  </si>
  <si>
    <t>CONTINENTAL OIL CO</t>
  </si>
  <si>
    <t>C C CARLTON JR ETAL #1</t>
  </si>
  <si>
    <t>1S20 38S 28E</t>
  </si>
  <si>
    <t>27° 9' 34.61036" N</t>
  </si>
  <si>
    <t>81° 32' 14.0316" W</t>
  </si>
  <si>
    <t>20"@ 123'</t>
  </si>
  <si>
    <t>13-3/8"@ 1196'</t>
  </si>
  <si>
    <t>9-5/8"@ 4500'</t>
  </si>
  <si>
    <t>5022-12609</t>
  </si>
  <si>
    <t>750'SW,1000'CUSH</t>
  </si>
  <si>
    <t>8757-8487,7200-6930,4630-4350,1300-1100,50-0</t>
  </si>
  <si>
    <t>0905510002</t>
  </si>
  <si>
    <t>OG_226</t>
  </si>
  <si>
    <t>THOMPSON EXPL DRILLING CO</t>
  </si>
  <si>
    <t>E W WETHERINGTON ETUX #1</t>
  </si>
  <si>
    <t>4S29 7N 16W</t>
  </si>
  <si>
    <t>30° 58' 56.25826" N</t>
  </si>
  <si>
    <t>85° 51' 2.32067" W</t>
  </si>
  <si>
    <t>8-5/8"@ 380'</t>
  </si>
  <si>
    <t>3665-3715,2970-3020,1320-1445,380-430,0-25</t>
  </si>
  <si>
    <t>0905910006</t>
  </si>
  <si>
    <t>OG_227</t>
  </si>
  <si>
    <t>W A CLARK ETUX #1</t>
  </si>
  <si>
    <t>4S29 7N 15W</t>
  </si>
  <si>
    <t>30° 58' 52.56563" N</t>
  </si>
  <si>
    <t>85° 45' 25.18394" W</t>
  </si>
  <si>
    <t>660'FSL&amp;2110'FEL</t>
  </si>
  <si>
    <t>3630-3680,1450-1550,0-25</t>
  </si>
  <si>
    <t>0905910007</t>
  </si>
  <si>
    <t>OG_228</t>
  </si>
  <si>
    <t>W E DUGGAN LUMBER CO INC #1</t>
  </si>
  <si>
    <t>3S35 3N 24W</t>
  </si>
  <si>
    <t>30° 42' 38.3184" N</t>
  </si>
  <si>
    <t>86° 37' 11.16836" W</t>
  </si>
  <si>
    <t>8-5/8"@ 374'</t>
  </si>
  <si>
    <t>1700-1850,350-400,0-???(5 sacks cmnt)</t>
  </si>
  <si>
    <t>0909110009</t>
  </si>
  <si>
    <t>OG_229</t>
  </si>
  <si>
    <t>J M MCDAVID ETAL #1</t>
  </si>
  <si>
    <t>1S38 4N 30W</t>
  </si>
  <si>
    <t>30° 51' 9.9487" N</t>
  </si>
  <si>
    <t>87° 17' 7.78713" W</t>
  </si>
  <si>
    <t>8-5/8"@ 386'</t>
  </si>
  <si>
    <t>1200-1350,350-450,0-???(5 sacks cmnt)</t>
  </si>
  <si>
    <t>0911310026</t>
  </si>
  <si>
    <t>OG_230</t>
  </si>
  <si>
    <t>ORANGE</t>
  </si>
  <si>
    <t>WARREN PETROLEUM CORP</t>
  </si>
  <si>
    <t>GEORGE TERRY #1</t>
  </si>
  <si>
    <t>EL ML GRN</t>
  </si>
  <si>
    <t>4S21 23S 31E</t>
  </si>
  <si>
    <t>28° 28' 6.30556" N</t>
  </si>
  <si>
    <t>81° 13' 2.3029" W</t>
  </si>
  <si>
    <t xml:space="preserve">660'FSL&amp;1980'FEL </t>
  </si>
  <si>
    <t>20"@ 198'</t>
  </si>
  <si>
    <t>13-3/8"@ 596'</t>
  </si>
  <si>
    <t>9-5/8"@ 3234</t>
  </si>
  <si>
    <t>5215-5608</t>
  </si>
  <si>
    <t>5473-5508</t>
  </si>
  <si>
    <t>3343-3143,0-???(5 sacks cement)</t>
  </si>
  <si>
    <t>0909510001</t>
  </si>
  <si>
    <t>Permit 307 was a reentry of this wellbore</t>
  </si>
  <si>
    <t>OG_231</t>
  </si>
  <si>
    <t>MORGAN M FRAISER ETUX #1</t>
  </si>
  <si>
    <t>3S10 5N 17W</t>
  </si>
  <si>
    <t>30° 51' 18.24962" N</t>
  </si>
  <si>
    <t>85° 55' 57.67331" W</t>
  </si>
  <si>
    <t>8-5/8"@ 510'</t>
  </si>
  <si>
    <t>4060-4068</t>
  </si>
  <si>
    <t>4015-4065,3385-3435,1925-2075,485-535,0-25</t>
  </si>
  <si>
    <t>0905910008</t>
  </si>
  <si>
    <t>OG_232</t>
  </si>
  <si>
    <t>STATE OF FLORIDA-826-G #1</t>
  </si>
  <si>
    <t>25° 0' 36.88272" N</t>
  </si>
  <si>
    <t>81° 6' 9.12744" W</t>
  </si>
  <si>
    <t>26"@ 94'</t>
  </si>
  <si>
    <t>20"@739'</t>
  </si>
  <si>
    <t>13-3/8"@1160'</t>
  </si>
  <si>
    <t>9-5/8"@3012'</t>
  </si>
  <si>
    <t>7"@10593'</t>
  </si>
  <si>
    <t>11661-12631</t>
  </si>
  <si>
    <t>10593-12631</t>
  </si>
  <si>
    <t>10383-10230,10183-9987,8960-8940,2942-2813,90-50</t>
  </si>
  <si>
    <t>0928710001</t>
  </si>
  <si>
    <t>3510C</t>
  </si>
  <si>
    <t>OG_233</t>
  </si>
  <si>
    <t>E R SMITH</t>
  </si>
  <si>
    <t>DR C K WALL #1</t>
  </si>
  <si>
    <t>2S19 2N 6W</t>
  </si>
  <si>
    <t>30° 33' 23.72634" N</t>
  </si>
  <si>
    <t>84° 52' 54.21158" W</t>
  </si>
  <si>
    <t xml:space="preserve">1980'FNL&amp;510'FWL </t>
  </si>
  <si>
    <t>16"@75'</t>
  </si>
  <si>
    <t>8-5/8"@ 742'</t>
  </si>
  <si>
    <t>1400-1250,792-692,25-0</t>
  </si>
  <si>
    <t>0903910004</t>
  </si>
  <si>
    <t>OG_234</t>
  </si>
  <si>
    <t>THOMAS A YAWKEY ETAL #2</t>
  </si>
  <si>
    <t>1S6 4N 18W</t>
  </si>
  <si>
    <t>30° 52' 43.1337" N</t>
  </si>
  <si>
    <t>86° 4' 35.06682" W</t>
  </si>
  <si>
    <t>660'FNL&amp;1979'FEL</t>
  </si>
  <si>
    <t>13-3/8" @ 129'</t>
  </si>
  <si>
    <t>10-3/4"@ 190</t>
  </si>
  <si>
    <t>7-5/8"@659</t>
  </si>
  <si>
    <t>4280-4330,3610-3660,1000-1150,610-710,0-25</t>
  </si>
  <si>
    <t>0913110014</t>
  </si>
  <si>
    <t>OG_235</t>
  </si>
  <si>
    <t>AMERADA PETROLEUM CORP</t>
  </si>
  <si>
    <t>SOUTHERN STATES #1</t>
  </si>
  <si>
    <t>EL ML GRN LL</t>
  </si>
  <si>
    <t>4S34 41S 39E</t>
  </si>
  <si>
    <t>26° 51' 39.86906" N</t>
  </si>
  <si>
    <t>80° 25' 12.25628" W</t>
  </si>
  <si>
    <t>20" @ 123'</t>
  </si>
  <si>
    <t>13-3/8" @ 1031'</t>
  </si>
  <si>
    <t>9-5/8" @ 4215'</t>
  </si>
  <si>
    <t>7384-10397</t>
  </si>
  <si>
    <t>4280-4150, 2360-2240, 1081-931, 50-0</t>
  </si>
  <si>
    <t>0909910002</t>
  </si>
  <si>
    <t>OG_236</t>
  </si>
  <si>
    <t>MANATEE</t>
  </si>
  <si>
    <t>SCHROEDER #1</t>
  </si>
  <si>
    <t>EL ML GRN LL TL</t>
  </si>
  <si>
    <t>3S11 35S 19E</t>
  </si>
  <si>
    <t>27° 27' 6.69172" N</t>
  </si>
  <si>
    <t>82° 22' 38.27244" W</t>
  </si>
  <si>
    <t>13-3/8"@ 1226'</t>
  </si>
  <si>
    <t>9982-11230,5114-5244</t>
  </si>
  <si>
    <t>10245-10257</t>
  </si>
  <si>
    <t>10300-10200,5051-5000,1176-1276,70-0</t>
  </si>
  <si>
    <t>0908110001</t>
  </si>
  <si>
    <t>OG_237</t>
  </si>
  <si>
    <t>OKEECHOBEE</t>
  </si>
  <si>
    <t>AMPC &amp; COC</t>
  </si>
  <si>
    <t>MARIE SWENSEN #1</t>
  </si>
  <si>
    <t>EL ML LL TL</t>
  </si>
  <si>
    <t>2S5 36S 34E</t>
  </si>
  <si>
    <t>27° 22' 26.83214" N</t>
  </si>
  <si>
    <t>80° 57' 27.72295" W</t>
  </si>
  <si>
    <t>760'FNL&amp;660'FWL</t>
  </si>
  <si>
    <t>13-3/8"@ 700'</t>
  </si>
  <si>
    <t>9-5/8"@ 4046</t>
  </si>
  <si>
    <t>4460-9096</t>
  </si>
  <si>
    <t>2108-4020</t>
  </si>
  <si>
    <t>4155-4000,2165-2125,2084-1977,1500-1406,750-650,0-??(20 sacks cmnt)</t>
  </si>
  <si>
    <t>0909310001</t>
  </si>
  <si>
    <t>OG_238</t>
  </si>
  <si>
    <t>ALBERT M CREIGHTON #1</t>
  </si>
  <si>
    <t>3S16 11S 19E</t>
  </si>
  <si>
    <t>29° 31' 50.19283" N</t>
  </si>
  <si>
    <t>82° 28' 15.43789" W</t>
  </si>
  <si>
    <t>16"@ 72</t>
  </si>
  <si>
    <t>10-3/4"@ 1061</t>
  </si>
  <si>
    <t>2500-2350,1011-1111,0-30</t>
  </si>
  <si>
    <t>0900110004</t>
  </si>
  <si>
    <t>OG_239</t>
  </si>
  <si>
    <t>J J STILL ETUX #1</t>
  </si>
  <si>
    <t>1S13 5N 13W</t>
  </si>
  <si>
    <t>30° 50' 19.02217" N</t>
  </si>
  <si>
    <t>85° 29' 3.61795" W</t>
  </si>
  <si>
    <t>8-5/8"@ 505'</t>
  </si>
  <si>
    <t>3655-3705,2430-2480,1100-1200,455-555,0-35</t>
  </si>
  <si>
    <t>0906310006</t>
  </si>
  <si>
    <t>OG_240</t>
  </si>
  <si>
    <t>ROSS DEAL #1</t>
  </si>
  <si>
    <t>4S4 3N 14W</t>
  </si>
  <si>
    <t>30° 41' 42.35543" N</t>
  </si>
  <si>
    <t>85° 38' 14.12628" W</t>
  </si>
  <si>
    <t>16"@ 32</t>
  </si>
  <si>
    <t>8-5/8"@ 468'</t>
  </si>
  <si>
    <t>3912-3962,3250-3300,900-1050,248-298,0-31</t>
  </si>
  <si>
    <t>0913310007</t>
  </si>
  <si>
    <t>OG_241</t>
  </si>
  <si>
    <t>B K SHIVERS #1</t>
  </si>
  <si>
    <t>1S11 5N 8W</t>
  </si>
  <si>
    <t>30° 50' 56.95534" N</t>
  </si>
  <si>
    <t>84° 59' 42.52531" W</t>
  </si>
  <si>
    <t xml:space="preserve">2020'FSL&amp;660'FEL </t>
  </si>
  <si>
    <t>16"@ 26</t>
  </si>
  <si>
    <t>8-5/8"@ 544'</t>
  </si>
  <si>
    <t>3201-3251,2645-2695,1100-1250,524-574,5-31</t>
  </si>
  <si>
    <t>0906310007</t>
  </si>
  <si>
    <t>OG_242</t>
  </si>
  <si>
    <t>FLAMINGO OIL CO OF ILL INC</t>
  </si>
  <si>
    <t>MRS A M CROWDER #1</t>
  </si>
  <si>
    <t>4S7 6N 17W</t>
  </si>
  <si>
    <t>30° 56' 22.75908" N</t>
  </si>
  <si>
    <t>85° 58' 11.27597" W</t>
  </si>
  <si>
    <t>664'FSL&amp;661'FEL</t>
  </si>
  <si>
    <t>8-5/8"@ 507'</t>
  </si>
  <si>
    <t>???-950,???-515,0-???(5 sacks cmnt)</t>
  </si>
  <si>
    <t>0905910009</t>
  </si>
  <si>
    <t>OG_243</t>
  </si>
  <si>
    <t>INDIAN RIVER</t>
  </si>
  <si>
    <t>FONDREN MITCHELL #1</t>
  </si>
  <si>
    <t>2S28 31S 35E</t>
  </si>
  <si>
    <t>27° 45' 31.47721" N</t>
  </si>
  <si>
    <t>80° 50' 31.33813" W</t>
  </si>
  <si>
    <t>13-3/8"@ 755'</t>
  </si>
  <si>
    <t>9-5/8"@ 3439</t>
  </si>
  <si>
    <t>6369-9488</t>
  </si>
  <si>
    <t>8076-8099</t>
  </si>
  <si>
    <t>3364-3519,1650-1550,805-708,0-???(20 sacks cmnt)</t>
  </si>
  <si>
    <t>0906110001</t>
  </si>
  <si>
    <t>OG_244</t>
  </si>
  <si>
    <t>BRADY BELCHER INTERESTS INC #4</t>
  </si>
  <si>
    <t>2S25 4N 21W</t>
  </si>
  <si>
    <t>30° 49' 18.92143" N</t>
  </si>
  <si>
    <t>86° 18' 14.39352" W</t>
  </si>
  <si>
    <t>16"@ 69.9'</t>
  </si>
  <si>
    <t>9-5/8" @ 436'</t>
  </si>
  <si>
    <t>3874-3969,1698-1764,397-472,0-??(5 sacks cmnt)</t>
  </si>
  <si>
    <t>0913110015</t>
  </si>
  <si>
    <t>OG_245</t>
  </si>
  <si>
    <t>C K WALL #1</t>
  </si>
  <si>
    <t>1S25 2N 6W</t>
  </si>
  <si>
    <t>30° 32' 45.1495" N</t>
  </si>
  <si>
    <t>84° 47' 2.54105" W</t>
  </si>
  <si>
    <t>751'FNL&amp;540'FEL</t>
  </si>
  <si>
    <t>16"@ 75'</t>
  </si>
  <si>
    <t>10-3/4"@ 708'</t>
  </si>
  <si>
    <t>3339-3265,1480-1405,725-650,10-0</t>
  </si>
  <si>
    <t>0903910005</t>
  </si>
  <si>
    <t>OG_246</t>
  </si>
  <si>
    <t>3S18 1S 12W</t>
  </si>
  <si>
    <t>30° 23' 54.6207" N</t>
  </si>
  <si>
    <t>85° 29' 11.29582" W</t>
  </si>
  <si>
    <t>1980'FSL&amp;660' FWL</t>
  </si>
  <si>
    <t>8-5/8"@ 390'</t>
  </si>
  <si>
    <t>1500-1350, 25-0</t>
  </si>
  <si>
    <t>0900510006</t>
  </si>
  <si>
    <t>OG_247</t>
  </si>
  <si>
    <t>MCDAVID VENEER CO #2</t>
  </si>
  <si>
    <t>3S34 5N 30W</t>
  </si>
  <si>
    <t>30° 53' 58.59971" N</t>
  </si>
  <si>
    <t>87° 15' 24.88903" W</t>
  </si>
  <si>
    <t>8-5/8"@ 431'</t>
  </si>
  <si>
    <t>6403-6405</t>
  </si>
  <si>
    <t>1650-1750,400-500,0-??(5 sacks cmnt)</t>
  </si>
  <si>
    <t>0911310027</t>
  </si>
  <si>
    <t>OG_248</t>
  </si>
  <si>
    <t>ST JOSEPH LAND &amp; DEVELOPMENT CO #1</t>
  </si>
  <si>
    <t>1S14 1N 6W</t>
  </si>
  <si>
    <t>30° 29' 13.53487" N</t>
  </si>
  <si>
    <t>84° 48' 13.8425" W</t>
  </si>
  <si>
    <t>660'FNL&amp;1836'FEL</t>
  </si>
  <si>
    <t>12-3/4"@ 96'</t>
  </si>
  <si>
    <t>8-5/8"@ 307'</t>
  </si>
  <si>
    <t>3897-3905</t>
  </si>
  <si>
    <t>3300-3225,1550-1475,345-270,10-0</t>
  </si>
  <si>
    <t>0907710004</t>
  </si>
  <si>
    <t>OG_249</t>
  </si>
  <si>
    <t>SOUTHEASTERN EXPL CO INC</t>
  </si>
  <si>
    <t>J L JONES #1</t>
  </si>
  <si>
    <t>2S3 6N 17W</t>
  </si>
  <si>
    <t>30° 57' 53.49024" N</t>
  </si>
  <si>
    <t>85° 55' 53.94742" W</t>
  </si>
  <si>
    <t>12-3/4"@ 105'</t>
  </si>
  <si>
    <t>8-5/8"@ 340'</t>
  </si>
  <si>
    <t>1570-1670,280-380,0-???(10 sacks cmnt)</t>
  </si>
  <si>
    <t>0905910010</t>
  </si>
  <si>
    <t>OG_250</t>
  </si>
  <si>
    <t>CONSOLIDATED NAVAL STORES CO #2</t>
  </si>
  <si>
    <t>EL ML GRN IL</t>
  </si>
  <si>
    <t>3S22 45S 26E</t>
  </si>
  <si>
    <t>26° 32' 28.95278" N</t>
  </si>
  <si>
    <t>81° 42' 30.68391" W</t>
  </si>
  <si>
    <t>330'FSL&amp;330'FWL</t>
  </si>
  <si>
    <t>20" @ 124</t>
  </si>
  <si>
    <t>13-3/8" @ 1130'</t>
  </si>
  <si>
    <t>9-5/8"@5024</t>
  </si>
  <si>
    <t>11682-11715</t>
  </si>
  <si>
    <t>30' oil cut mud</t>
  </si>
  <si>
    <t>11386-11551,9285-9420,7065-7200,4875-5024,980-1100,0-25</t>
  </si>
  <si>
    <t>0907110004</t>
  </si>
  <si>
    <t>OG_251</t>
  </si>
  <si>
    <t>STATE LEASE 833 #1</t>
  </si>
  <si>
    <t>4S17 2S 28W</t>
  </si>
  <si>
    <t>30° 23' 31.77143" N</t>
  </si>
  <si>
    <t>87° 2' 57.28092" W</t>
  </si>
  <si>
    <t>26"@107</t>
  </si>
  <si>
    <t>20" @ 296'</t>
  </si>
  <si>
    <t>13-3/8" @ 1016'</t>
  </si>
  <si>
    <t>1240-1440,939-1120,75-120</t>
  </si>
  <si>
    <t>0911310028</t>
  </si>
  <si>
    <t>OG_252</t>
  </si>
  <si>
    <t>THOMAS E MCMILLAN &amp; A R TEMPLE</t>
  </si>
  <si>
    <t>THE DANIELL CO #1</t>
  </si>
  <si>
    <t>4S1 5N 32W</t>
  </si>
  <si>
    <t>30° 58' 27.2249" N</t>
  </si>
  <si>
    <t>87° 23' 14.78987" W</t>
  </si>
  <si>
    <t>660'FSL&amp;660' FEL</t>
  </si>
  <si>
    <t>8-5/8"@ 404'</t>
  </si>
  <si>
    <t>1400-1500,375-400,0-??(5 sacks cmnt)</t>
  </si>
  <si>
    <t>0903310006</t>
  </si>
  <si>
    <t>OG_253</t>
  </si>
  <si>
    <t>PERDIDO LAND CO</t>
  </si>
  <si>
    <t>HUGH CARY #1</t>
  </si>
  <si>
    <t>4S16 2S 31W</t>
  </si>
  <si>
    <t>30° 24' 31.54349" N</t>
  </si>
  <si>
    <t>87° 22' 42.66926" W</t>
  </si>
  <si>
    <t>1760'FSL&amp;2018'FWL</t>
  </si>
  <si>
    <t>12-3/4"@ 82'</t>
  </si>
  <si>
    <t>8-5/8"@ 497'</t>
  </si>
  <si>
    <t>1350-1500,447-547,0-25</t>
  </si>
  <si>
    <t>0903310007</t>
  </si>
  <si>
    <t>OG_254</t>
  </si>
  <si>
    <t>ST LUCIE</t>
  </si>
  <si>
    <t>COWLES MAGAZINES INC #1</t>
  </si>
  <si>
    <t>1S19 36S 40E</t>
  </si>
  <si>
    <t>27° 20' 9.95014" N</t>
  </si>
  <si>
    <t>80° 22' 6.62502" W</t>
  </si>
  <si>
    <t>20"@ 117'</t>
  </si>
  <si>
    <t>13-3/8"@ 989'</t>
  </si>
  <si>
    <t>9-5/8"@ 2578'</t>
  </si>
  <si>
    <t>7-5/8"@4115</t>
  </si>
  <si>
    <t>5034-5040.5</t>
  </si>
  <si>
    <t>5000-4810,4439-4002,2650-2392,905-842,60-0</t>
  </si>
  <si>
    <t>0911110001</t>
  </si>
  <si>
    <t>OG_255</t>
  </si>
  <si>
    <t>HICKS COMILLION #1</t>
  </si>
  <si>
    <t>4S4 4N 30W</t>
  </si>
  <si>
    <t>30° 53' 5.33447" N</t>
  </si>
  <si>
    <t>87° 14' 56.8955" W</t>
  </si>
  <si>
    <t>8-5/8"@ 416'</t>
  </si>
  <si>
    <t>1800-1900,315-425,0-??(5 sacks cmnt)</t>
  </si>
  <si>
    <t>0911310029</t>
  </si>
  <si>
    <t>OG_256</t>
  </si>
  <si>
    <t>ZACH BROOKS DRILLING CO ETAL</t>
  </si>
  <si>
    <t>CALDWELL-GARVIN ETAL #1</t>
  </si>
  <si>
    <t>IEL ML</t>
  </si>
  <si>
    <t>3S31 2S 31W</t>
  </si>
  <si>
    <t>30° 22' 36.90829" N</t>
  </si>
  <si>
    <t>87° 20' 43.64884" W</t>
  </si>
  <si>
    <t>1856'FNL&amp;784'FWL</t>
  </si>
  <si>
    <t>16"@ 104'</t>
  </si>
  <si>
    <t>10-3/4"@1950'</t>
  </si>
  <si>
    <t>1900-2100,0-40</t>
  </si>
  <si>
    <t>0903310008</t>
  </si>
  <si>
    <t>OG_257</t>
  </si>
  <si>
    <t>A W WILLIAMS DRILLING CO INC</t>
  </si>
  <si>
    <t>E L JORDAN #1</t>
  </si>
  <si>
    <t>3S31 1N 12W</t>
  </si>
  <si>
    <t>30° 26' 31.67812" N</t>
  </si>
  <si>
    <t>85° 29' 8.29982" W</t>
  </si>
  <si>
    <t>12-3/4"@ 143'</t>
  </si>
  <si>
    <t>8-5/8"@ 363"</t>
  </si>
  <si>
    <t>1900-1800,400-300,15-0</t>
  </si>
  <si>
    <t>0900510007</t>
  </si>
  <si>
    <t>OG_258</t>
  </si>
  <si>
    <t>3S11 3N 22W</t>
  </si>
  <si>
    <t>30° 45' 57.96436" N</t>
  </si>
  <si>
    <t>86° 25' 22.25935" W</t>
  </si>
  <si>
    <t>8-5/8"@ 387"</t>
  </si>
  <si>
    <t>1550-1650,350-450,0-???(5sacks cmnt)</t>
  </si>
  <si>
    <t>0909110010</t>
  </si>
  <si>
    <t>OG_259</t>
  </si>
  <si>
    <t>COWLES MAGAZINES INC #2</t>
  </si>
  <si>
    <t>27° 19' 56.91385" N</t>
  </si>
  <si>
    <t>80° 22' 6.41417" W</t>
  </si>
  <si>
    <t>24"@ 120'</t>
  </si>
  <si>
    <t>20"@ 1014'</t>
  </si>
  <si>
    <t>13-3/8"@ 3445</t>
  </si>
  <si>
    <t>9-5/8"@ 6623</t>
  </si>
  <si>
    <t>6720-12748</t>
  </si>
  <si>
    <t>12104-12138</t>
  </si>
  <si>
    <t>6700-6450,3550-3350,1700-1390,870-800,0-??(60 sacks cmnt)</t>
  </si>
  <si>
    <t>0911110002</t>
  </si>
  <si>
    <t>OG_260</t>
  </si>
  <si>
    <t>C D CHAPMAN #1</t>
  </si>
  <si>
    <t>1S27 7N 17W</t>
  </si>
  <si>
    <t>30° 59' 19.21722" N</t>
  </si>
  <si>
    <t>85° 55' 7.08607" W</t>
  </si>
  <si>
    <t>1739'FNL&amp;660'FEL</t>
  </si>
  <si>
    <t>8-5/8"@ 402'</t>
  </si>
  <si>
    <t>1600-1750,450-550,0-15</t>
  </si>
  <si>
    <t>0905910011</t>
  </si>
  <si>
    <t>OG_261</t>
  </si>
  <si>
    <t>SECI ETAL</t>
  </si>
  <si>
    <t>C A HOBBS JR &amp; RAY GILLIS #1</t>
  </si>
  <si>
    <t>4S18 6N 17W</t>
  </si>
  <si>
    <t>30° 55' 42.69173" N</t>
  </si>
  <si>
    <t>85° 58' 11.99147" W</t>
  </si>
  <si>
    <t>9-5/8" @ 574'</t>
  </si>
  <si>
    <t>1550-1650,500-600,0-10</t>
  </si>
  <si>
    <t>0905910012</t>
  </si>
  <si>
    <t>OG_262</t>
  </si>
  <si>
    <t>FISHER ESTATE #1</t>
  </si>
  <si>
    <t>2S28 2N 26W</t>
  </si>
  <si>
    <t>30° 39' 2.73802" N</t>
  </si>
  <si>
    <t>86° 51' 15.7748" W</t>
  </si>
  <si>
    <t>1988'FNL&amp;1994'FWL</t>
  </si>
  <si>
    <t>22"@ 96'</t>
  </si>
  <si>
    <t>13-3/8"@ 815'</t>
  </si>
  <si>
    <t>6200-6736</t>
  </si>
  <si>
    <t>715-915,0-??? (10 sacks cmnt)</t>
  </si>
  <si>
    <t>0911310030</t>
  </si>
  <si>
    <t>OG_263</t>
  </si>
  <si>
    <t>D THOMASON</t>
  </si>
  <si>
    <t>J HARE #1</t>
  </si>
  <si>
    <t>2S6 5N 30W</t>
  </si>
  <si>
    <t>30° 58' 45.22789" N</t>
  </si>
  <si>
    <t>87° 16' 53.14069" W</t>
  </si>
  <si>
    <t>1300-1400,365-415, 0-???(5 sacks cmnt)</t>
  </si>
  <si>
    <t>0903310009</t>
  </si>
  <si>
    <t>OG_264</t>
  </si>
  <si>
    <t>LEON JONES ETAL #1</t>
  </si>
  <si>
    <t>1S25 2N 31W</t>
  </si>
  <si>
    <t>30° 39' 36.60476" N</t>
  </si>
  <si>
    <t>87° 17' 59.15378" W</t>
  </si>
  <si>
    <t>1650'FNL&amp;2310'FEL</t>
  </si>
  <si>
    <t>OG_265</t>
  </si>
  <si>
    <t>STATE LEASE 1004 #1</t>
  </si>
  <si>
    <t>EL ML GR TL</t>
  </si>
  <si>
    <t>3S2 48S 35E</t>
  </si>
  <si>
    <t>26° 20' 10.1915" N</t>
  </si>
  <si>
    <t>80° 48' 41.98934" W</t>
  </si>
  <si>
    <t>1311'FSL&amp;1320'FWL</t>
  </si>
  <si>
    <t>26" @ 89'</t>
  </si>
  <si>
    <t>20" @ 285'</t>
  </si>
  <si>
    <t>13-3/8" @ 1990'</t>
  </si>
  <si>
    <t>9-5/8"@4601</t>
  </si>
  <si>
    <t>5250-12560</t>
  </si>
  <si>
    <t>5290-10240</t>
  </si>
  <si>
    <t>12800-12394,4695-4432,2034-1934,1920-1793,0-???(30 sacks cmnt)</t>
  </si>
  <si>
    <t>0909910003</t>
  </si>
  <si>
    <t>OG_266</t>
  </si>
  <si>
    <t>1S12 1S 11W</t>
  </si>
  <si>
    <t>30° 25' 3.84683" N</t>
  </si>
  <si>
    <t>85° 17' 14.83703" W</t>
  </si>
  <si>
    <t>660'FNL&amp;600'FEL</t>
  </si>
  <si>
    <t>12-3/4"@ 117'</t>
  </si>
  <si>
    <t>8-5/8"@ 407'</t>
  </si>
  <si>
    <t>1900-2000,350-450,0-???(5 sacks cmnt)</t>
  </si>
  <si>
    <t>0901310012</t>
  </si>
  <si>
    <t>OG_267</t>
  </si>
  <si>
    <t>JAMES ROBERT SEALY</t>
  </si>
  <si>
    <t>BRADY BELCHER &amp; BRITTON ESTATE #1</t>
  </si>
  <si>
    <t>3S10 3N 22W</t>
  </si>
  <si>
    <t>30° 45' 52.14514" N</t>
  </si>
  <si>
    <t>86° 26' 13.43321" W</t>
  </si>
  <si>
    <t>25'FSL&amp;1380'FWL</t>
  </si>
  <si>
    <t>9-5/8"@ 306'</t>
  </si>
  <si>
    <t>1900-2050,275-375,0-???(5 sacks cmnt)</t>
  </si>
  <si>
    <t>0909110011</t>
  </si>
  <si>
    <t>OG_268</t>
  </si>
  <si>
    <t>PAN AMERICAN PETROLEUM CORP</t>
  </si>
  <si>
    <t>4S9 1S 18W</t>
  </si>
  <si>
    <t>30° 30' 9.1534" N</t>
  </si>
  <si>
    <t>86° 2' 32.47048" W</t>
  </si>
  <si>
    <t>20" @ 244</t>
  </si>
  <si>
    <t>13-3/8" @ 1239'</t>
  </si>
  <si>
    <t>2950-3110,1165-1315,0-13</t>
  </si>
  <si>
    <t>0913110016</t>
  </si>
  <si>
    <t>OG_269</t>
  </si>
  <si>
    <t>LYKES BROS INC #1</t>
  </si>
  <si>
    <t>1S1 41S 30E</t>
  </si>
  <si>
    <t>26° 56' 30.46366" N</t>
  </si>
  <si>
    <t>81° 16' 22.54001" W</t>
  </si>
  <si>
    <t>30"@ 120'</t>
  </si>
  <si>
    <t>16"@ 821'</t>
  </si>
  <si>
    <t>11-3/4" @ 4520'</t>
  </si>
  <si>
    <t>9332-9422,10660-10890</t>
  </si>
  <si>
    <t>9296-9344</t>
  </si>
  <si>
    <t>4570-4470,2450-2283,871-740,45-0</t>
  </si>
  <si>
    <t>0904310002</t>
  </si>
  <si>
    <t>OG_270</t>
  </si>
  <si>
    <t>SUMNER OIL LTD</t>
  </si>
  <si>
    <t>JULIAN SUMNER #1</t>
  </si>
  <si>
    <t>1S30 31S 20E</t>
  </si>
  <si>
    <t>27° 45' 27.00698" N</t>
  </si>
  <si>
    <t>82° 20' 16.38978" W</t>
  </si>
  <si>
    <t>1990'FNL&amp;882'FEL</t>
  </si>
  <si>
    <t>16"@ 100'</t>
  </si>
  <si>
    <t>9-5/8"@ 1459'</t>
  </si>
  <si>
    <t>7"@ 2622'</t>
  </si>
  <si>
    <t>1700-1508, 209-86,20-0</t>
  </si>
  <si>
    <t>0905710002</t>
  </si>
  <si>
    <t>OG_271</t>
  </si>
  <si>
    <t>CONSOLIDATED NAVAL STORES-STATE #1</t>
  </si>
  <si>
    <t>2S16 46S 27E</t>
  </si>
  <si>
    <t>26° 28' 37.36643" N</t>
  </si>
  <si>
    <t>81° 37' 19.96529" W</t>
  </si>
  <si>
    <t>1017'FNL&amp;1784'FWL</t>
  </si>
  <si>
    <t>20" @ 152</t>
  </si>
  <si>
    <t>13-3/8" @ 1209'</t>
  </si>
  <si>
    <t>9-5/8"@ 4308</t>
  </si>
  <si>
    <t>11568-11719</t>
  </si>
  <si>
    <t>720'&amp;90'</t>
  </si>
  <si>
    <t>11625-11898,4200-4372,1100-1510,0-70</t>
  </si>
  <si>
    <t>0907110005</t>
  </si>
  <si>
    <t>OG_272</t>
  </si>
  <si>
    <t>POC &amp; RLE</t>
  </si>
  <si>
    <t>CHESTER F ELLIS ETAL #1</t>
  </si>
  <si>
    <t>IEL</t>
  </si>
  <si>
    <t>2S23 4N 29W</t>
  </si>
  <si>
    <t>30° 50' 55.32814" N</t>
  </si>
  <si>
    <t>87° 7' 6.4006" W</t>
  </si>
  <si>
    <t>660'FNL&amp;1980'FWL</t>
  </si>
  <si>
    <t>10-3/4"@422'</t>
  </si>
  <si>
    <t>1375-1525,395-445,0-???(8 sacks cmnt)</t>
  </si>
  <si>
    <t>0911310031</t>
  </si>
  <si>
    <t>OG_273</t>
  </si>
  <si>
    <t>HANNA B OWNBY DRILLING CO</t>
  </si>
  <si>
    <t>ADA B HARRISON #1</t>
  </si>
  <si>
    <t>2S11 4N 30W</t>
  </si>
  <si>
    <t>30° 52' 38.00604" N</t>
  </si>
  <si>
    <t>87° 13' 25.74649" W</t>
  </si>
  <si>
    <t>8-5/8"@ 401'</t>
  </si>
  <si>
    <t>???-1650, 375-425,0-??? (5 sacks cmnt)</t>
  </si>
  <si>
    <t>0911310032</t>
  </si>
  <si>
    <t>OG_274</t>
  </si>
  <si>
    <t>E L JORDAN ETAL #2</t>
  </si>
  <si>
    <t>3S15 1S 12W</t>
  </si>
  <si>
    <t>30° 23' 53.74986" N</t>
  </si>
  <si>
    <t>85° 26' 8.03162" W</t>
  </si>
  <si>
    <t xml:space="preserve">2020'FSL&amp;700'FWL </t>
  </si>
  <si>
    <t>12-3/4"@ 140'</t>
  </si>
  <si>
    <t>8-5/8"@ 387'</t>
  </si>
  <si>
    <t>1800-1675,458-358,15-0</t>
  </si>
  <si>
    <t>0900510008</t>
  </si>
  <si>
    <t>OG_275</t>
  </si>
  <si>
    <t>STATE OF FLORIDA-826-Y #1</t>
  </si>
  <si>
    <t>EL GRN LL7 MLL TL</t>
  </si>
  <si>
    <t>24° 37' 1.47317" N</t>
  </si>
  <si>
    <t>82° 2' 20.40644" W</t>
  </si>
  <si>
    <t>26"@ 262</t>
  </si>
  <si>
    <t>20"@ 845</t>
  </si>
  <si>
    <t>13-3/8"@ 4306</t>
  </si>
  <si>
    <t>9-5/8"@ 7908</t>
  </si>
  <si>
    <t>11474-11509</t>
  </si>
  <si>
    <t>15 Bbls</t>
  </si>
  <si>
    <t>14 BbLS</t>
  </si>
  <si>
    <t>14965-14702,13732-13451,13260-13160,12500-12400,7930-7980,10-220</t>
  </si>
  <si>
    <t>0928710002</t>
  </si>
  <si>
    <t>OG_276</t>
  </si>
  <si>
    <t>AMERICAN SUMATRA TOBACCO CORP #1</t>
  </si>
  <si>
    <t>2S23 2N 4W</t>
  </si>
  <si>
    <t>30° 33' 41.0657" N</t>
  </si>
  <si>
    <t>84° 36' 29.53526" W</t>
  </si>
  <si>
    <t>12-3/4"@ 99'</t>
  </si>
  <si>
    <t>8-5/8"@ 504'</t>
  </si>
  <si>
    <t>980-930,530-480,25-0</t>
  </si>
  <si>
    <t>0903910006</t>
  </si>
  <si>
    <t>OG_277</t>
  </si>
  <si>
    <t>GULF COAST DRILLING &amp; EXPL CO</t>
  </si>
  <si>
    <t>USA FORESTRY SERVICE #1</t>
  </si>
  <si>
    <t>4S4 5S 7W</t>
  </si>
  <si>
    <t>30° 3' 56.1847" N</t>
  </si>
  <si>
    <t>84° 56' 27.93415" W</t>
  </si>
  <si>
    <t>330'FSL&amp;1980'FEL</t>
  </si>
  <si>
    <t>13-3/8"@ 60'</t>
  </si>
  <si>
    <t>9-5/8" @ 1294'</t>
  </si>
  <si>
    <t>9162-9510</t>
  </si>
  <si>
    <t>1369-1209,33-3</t>
  </si>
  <si>
    <t>0907710005</t>
  </si>
  <si>
    <t>3 1/2' tall pipe marks site</t>
  </si>
  <si>
    <t>OG_278</t>
  </si>
  <si>
    <t>COC-CPC</t>
  </si>
  <si>
    <t>STATE LEASE 1055 #1</t>
  </si>
  <si>
    <t>IEL SL GR</t>
  </si>
  <si>
    <t>3S11 54S 35E</t>
  </si>
  <si>
    <t>25° 46' 43.79027" N</t>
  </si>
  <si>
    <t>80° 48' 20.85246" W</t>
  </si>
  <si>
    <t xml:space="preserve">1320'FSL&amp;1320'FWL </t>
  </si>
  <si>
    <t>13-3/8"@ 968'</t>
  </si>
  <si>
    <t>9-5/8"@ 4080</t>
  </si>
  <si>
    <t>8085-11675</t>
  </si>
  <si>
    <t>11400-11200,4120-4031,1050-900,25-0</t>
  </si>
  <si>
    <t>0902510010</t>
  </si>
  <si>
    <t>OG_279</t>
  </si>
  <si>
    <t>DCOC ETAL</t>
  </si>
  <si>
    <t>IEL ML SL DL</t>
  </si>
  <si>
    <t>1S23 45S 28E</t>
  </si>
  <si>
    <t>26° 33' 18.8429" N</t>
  </si>
  <si>
    <t>81° 29' 4.95391" W</t>
  </si>
  <si>
    <t>660'FNL&amp;340'FEL</t>
  </si>
  <si>
    <t>20"@ 65'</t>
  </si>
  <si>
    <t>13-3/8" @ 1028'</t>
  </si>
  <si>
    <t>9-5/8"@4210</t>
  </si>
  <si>
    <t>11297-11400,928-1128,0-30</t>
  </si>
  <si>
    <t>0905110007</t>
  </si>
  <si>
    <t>OG_280</t>
  </si>
  <si>
    <t>FLORIDA STATE 1011 #1</t>
  </si>
  <si>
    <t>EL LL MLL</t>
  </si>
  <si>
    <t>1S1 67S 29E</t>
  </si>
  <si>
    <t>24° 38' 36.76936" N</t>
  </si>
  <si>
    <t>81° 20' 9.45069" W</t>
  </si>
  <si>
    <t>1230'FNL&amp;1330'FEL</t>
  </si>
  <si>
    <t>16"@52'</t>
  </si>
  <si>
    <t>10-3/4"@1109'</t>
  </si>
  <si>
    <t>1215-906,50 sack cement surface plug</t>
  </si>
  <si>
    <t>0928710003</t>
  </si>
  <si>
    <t>OG_281</t>
  </si>
  <si>
    <t>TCC-CPC</t>
  </si>
  <si>
    <t>FLORIDA STATE 224-A #1</t>
  </si>
  <si>
    <t>1S7 9S 5W</t>
  </si>
  <si>
    <t>29° 42' 48.13011" N</t>
  </si>
  <si>
    <t>84° 46' 28.96515" W</t>
  </si>
  <si>
    <t>24"@ 127'</t>
  </si>
  <si>
    <t>16"@ 323'</t>
  </si>
  <si>
    <t>10-3/4"@ 1228'</t>
  </si>
  <si>
    <t>4287-6432</t>
  </si>
  <si>
    <t>1327-1177,100-50</t>
  </si>
  <si>
    <t>0923710004</t>
  </si>
  <si>
    <t>OG_282</t>
  </si>
  <si>
    <t>GCRC #B-2</t>
  </si>
  <si>
    <t>4S13 48S 28E</t>
  </si>
  <si>
    <t>26° 17' 50.89924" N</t>
  </si>
  <si>
    <t>81° 28' 6.70516" W</t>
  </si>
  <si>
    <t>1348'FSL&amp;1345'FEL</t>
  </si>
  <si>
    <t>20" @ 177</t>
  </si>
  <si>
    <t>13-3/8" @ 1274'</t>
  </si>
  <si>
    <t>9-5/8"@4404</t>
  </si>
  <si>
    <t>11855-12075</t>
  </si>
  <si>
    <t>11750-12030,1350-1200,0-50</t>
  </si>
  <si>
    <t>0902110031</t>
  </si>
  <si>
    <t>OG_283</t>
  </si>
  <si>
    <t>MCCORMICK &amp; SHORT</t>
  </si>
  <si>
    <t>3S16 5N 28W</t>
  </si>
  <si>
    <t>30° 56' 19.34293" N</t>
  </si>
  <si>
    <t>87° 2' 59.75898" W</t>
  </si>
  <si>
    <t xml:space="preserve">990'FSL&amp;1650'FWL </t>
  </si>
  <si>
    <t>8-5/8"@ 516'</t>
  </si>
  <si>
    <t>3789-4000,411-525,0-20</t>
  </si>
  <si>
    <t>0911310033</t>
  </si>
  <si>
    <t>OG_284</t>
  </si>
  <si>
    <t>MARQUESAS OCS BLOCK NO 28 #1</t>
  </si>
  <si>
    <t>IEL GRN SL LL7 MLL TL</t>
  </si>
  <si>
    <t>24° 27' 1.499" N</t>
  </si>
  <si>
    <t>82° 21' 44.43548" W</t>
  </si>
  <si>
    <t>26"</t>
  </si>
  <si>
    <t>20"@787'</t>
  </si>
  <si>
    <t>9-5/8"@7727'</t>
  </si>
  <si>
    <t>12345-14508</t>
  </si>
  <si>
    <t>7670-7570,159-139</t>
  </si>
  <si>
    <t>0928710005</t>
  </si>
  <si>
    <t>OG_285</t>
  </si>
  <si>
    <t>S W BARTON ETAL</t>
  </si>
  <si>
    <t>W M DAVIDSON #1</t>
  </si>
  <si>
    <t>2S29 7S 17E</t>
  </si>
  <si>
    <t>29° 51' 8.03351" N</t>
  </si>
  <si>
    <t>82° 38' 8.42406" W</t>
  </si>
  <si>
    <t>4 bags cement at 10 feet</t>
  </si>
  <si>
    <t>0902310007</t>
  </si>
  <si>
    <t>lost circulation at 160' hole abandoned</t>
  </si>
  <si>
    <t>OG_286</t>
  </si>
  <si>
    <t>SOCONY-MOBIL OIL CO INC</t>
  </si>
  <si>
    <t>ST REGIS PAPER CO #1</t>
  </si>
  <si>
    <t>2S35 4N 30W</t>
  </si>
  <si>
    <t>30° 49' 8.74" N</t>
  </si>
  <si>
    <t>87° 14' 29.2494" W</t>
  </si>
  <si>
    <t>16"@ 111'</t>
  </si>
  <si>
    <t>10-3/4"@2517'</t>
  </si>
  <si>
    <t>2350-2617, 0-???(10 sacks cmnt)</t>
  </si>
  <si>
    <t>0911310034</t>
  </si>
  <si>
    <t>OG_288</t>
  </si>
  <si>
    <t>MILES COLLIER ETAL #1</t>
  </si>
  <si>
    <t>3S18 49S 31E</t>
  </si>
  <si>
    <t>26° 12' 44.61239" N</t>
  </si>
  <si>
    <t>81° 15' 50.53471" W</t>
  </si>
  <si>
    <t xml:space="preserve">1160'FSL&amp;660'FWL </t>
  </si>
  <si>
    <t>20" @ 189</t>
  </si>
  <si>
    <t>13-3/8" @ 1397.56'</t>
  </si>
  <si>
    <t>9-5/8"@4300.18</t>
  </si>
  <si>
    <t>7" @ 11633.41'</t>
  </si>
  <si>
    <t>11633-11644</t>
  </si>
  <si>
    <t>2 BOPD</t>
  </si>
  <si>
    <t>200 MCFPD</t>
  </si>
  <si>
    <t>198 BWPD</t>
  </si>
  <si>
    <t>9812-9822</t>
  </si>
  <si>
    <t>4804-9910,</t>
  </si>
  <si>
    <t>0902110032</t>
  </si>
  <si>
    <t>OG_289</t>
  </si>
  <si>
    <t>FLORIDA STATE-224-B #1</t>
  </si>
  <si>
    <t>IEL GRN LL7 MLL TL</t>
  </si>
  <si>
    <t>26° 41' 8.27383" N</t>
  </si>
  <si>
    <t>82° 19' 2.20789" W</t>
  </si>
  <si>
    <t>20"@221.31'</t>
  </si>
  <si>
    <t>13-3/8" @ 1470.40'</t>
  </si>
  <si>
    <t>9-5/8"@ 4401.75'</t>
  </si>
  <si>
    <t>11354-12494</t>
  </si>
  <si>
    <t>4302-4502 1340-1440 82-132</t>
  </si>
  <si>
    <t>0927110006</t>
  </si>
  <si>
    <t>OG_290</t>
  </si>
  <si>
    <t>TCC ETAL</t>
  </si>
  <si>
    <t>OCS LEASE 0672 BLOCK 44 #1</t>
  </si>
  <si>
    <t>EL GRL</t>
  </si>
  <si>
    <t>24° 25' 18.50408" N</t>
  </si>
  <si>
    <t>82° 36' 1.45645" W</t>
  </si>
  <si>
    <t>36"@153'</t>
  </si>
  <si>
    <t>9-5/8"@502'</t>
  </si>
  <si>
    <t>240-615</t>
  </si>
  <si>
    <t>0928710007</t>
  </si>
  <si>
    <t>OG_291</t>
  </si>
  <si>
    <t>MILES COLLIER ETAL #2</t>
  </si>
  <si>
    <t>BIG CYPRESS NATIONAL PRES</t>
  </si>
  <si>
    <t>1S18 49S 31E</t>
  </si>
  <si>
    <t>26° 13' 13.85036" N</t>
  </si>
  <si>
    <t>81° 15' 25.56036" W</t>
  </si>
  <si>
    <t xml:space="preserve">1324FNL&amp;3561'FWL </t>
  </si>
  <si>
    <t>20" @ 187.15</t>
  </si>
  <si>
    <t>13-3/8" @ 1355'</t>
  </si>
  <si>
    <t>9-5/8"@4303</t>
  </si>
  <si>
    <t>2905-12852</t>
  </si>
  <si>
    <t>12864-12870</t>
  </si>
  <si>
    <t>12890-12920,11550-11650,3070-3266,0-25</t>
  </si>
  <si>
    <t>0902110033</t>
  </si>
  <si>
    <t>OG_292</t>
  </si>
  <si>
    <t>FLORIDA STATE LEASE 1011 #2</t>
  </si>
  <si>
    <t>24° 32' 11.48532" N</t>
  </si>
  <si>
    <t>82° 6' 39.41312" W</t>
  </si>
  <si>
    <t>36"@ 111'</t>
  </si>
  <si>
    <t>9-5/8"@654'</t>
  </si>
  <si>
    <t>748-95</t>
  </si>
  <si>
    <t>0928710008</t>
  </si>
  <si>
    <t>OG_293</t>
  </si>
  <si>
    <t>FLORIDA STATE LEASE-224-A #2</t>
  </si>
  <si>
    <t>29° 47' 30.36098" N</t>
  </si>
  <si>
    <t>84° 22' 42.15324" W</t>
  </si>
  <si>
    <t>26"@ 86.5'</t>
  </si>
  <si>
    <t>13-3/8"@ 231'</t>
  </si>
  <si>
    <t>9-5/8"@ 1203'</t>
  </si>
  <si>
    <t>1253-1140,150-100</t>
  </si>
  <si>
    <t>0923710009</t>
  </si>
  <si>
    <t>OG_294</t>
  </si>
  <si>
    <t>EMMETTE F GATHRIGHT</t>
  </si>
  <si>
    <t>STATE OF FLORIDA-833-BAARS ESTATE #1</t>
  </si>
  <si>
    <t>4S2 2S 29W</t>
  </si>
  <si>
    <t>30° 26' 13.5931" N</t>
  </si>
  <si>
    <t>87° 10' 27.8783" W</t>
  </si>
  <si>
    <t>202'W of ST.RD10A,902'N of Sec. Line</t>
  </si>
  <si>
    <t>13-3/8"@ 63'</t>
  </si>
  <si>
    <t>9-5/8"@800'</t>
  </si>
  <si>
    <t>1275-1425,700-900,30-80,0-10</t>
  </si>
  <si>
    <t>0903310010</t>
  </si>
  <si>
    <t>OG_295</t>
  </si>
  <si>
    <t>MARQUESAS OCS BLOCK 46 #1</t>
  </si>
  <si>
    <t>24° 26' 8.50164" N</t>
  </si>
  <si>
    <t>82° 29' 36.44704" W</t>
  </si>
  <si>
    <t>0928710010</t>
  </si>
  <si>
    <t>OG_296</t>
  </si>
  <si>
    <t>MARQUESAS OCS LEASE 0674 BLOCK 46 #1</t>
  </si>
  <si>
    <t>IEL SL TL</t>
  </si>
  <si>
    <t>24° 26' 3.75281" N</t>
  </si>
  <si>
    <t>82° 29' 30.0349" W</t>
  </si>
  <si>
    <t>36"@241'</t>
  </si>
  <si>
    <t>20"@843'</t>
  </si>
  <si>
    <t>290-160</t>
  </si>
  <si>
    <t>0928710015</t>
  </si>
  <si>
    <t>OG_297</t>
  </si>
  <si>
    <t>FLORIDA STATE-224-B #2</t>
  </si>
  <si>
    <t>IEL TL</t>
  </si>
  <si>
    <t>26° 43' 7.17618" N</t>
  </si>
  <si>
    <t>82° 17' 11.418" W</t>
  </si>
  <si>
    <t>26"@ 111'</t>
  </si>
  <si>
    <t>13-3/8"@ 651.12'</t>
  </si>
  <si>
    <t>9-5/8"@4393.78'</t>
  </si>
  <si>
    <t>8212-11366</t>
  </si>
  <si>
    <t>4294-4494,551-751,140-179,</t>
  </si>
  <si>
    <t>0927110011</t>
  </si>
  <si>
    <t>OG_298</t>
  </si>
  <si>
    <t>FLORIDA STATE LEASE 1011 #3</t>
  </si>
  <si>
    <t>IEL SL DIP</t>
  </si>
  <si>
    <t>24° 32' 2.07571" N</t>
  </si>
  <si>
    <t>82° 6' 30.57293" W</t>
  </si>
  <si>
    <t>26"@ 116'</t>
  </si>
  <si>
    <t>20"@ 636'</t>
  </si>
  <si>
    <t>9-5/8"@ 5654'</t>
  </si>
  <si>
    <t>10372-12595</t>
  </si>
  <si>
    <t>10640-12521</t>
  </si>
  <si>
    <t>5754-5554,621-521,100-85</t>
  </si>
  <si>
    <t>0928710012</t>
  </si>
  <si>
    <t>OG_299</t>
  </si>
  <si>
    <t>ST REGIS PAPER CO ETAL #1</t>
  </si>
  <si>
    <t>1S4 2N 29W</t>
  </si>
  <si>
    <t>30° 42' 55.28383" N</t>
  </si>
  <si>
    <t>87° 9' 8.80312" W</t>
  </si>
  <si>
    <t>1960'FNL&amp;2000'FEL</t>
  </si>
  <si>
    <t>20" @ 162.94'</t>
  </si>
  <si>
    <t>10-3/4"@2022.54'</t>
  </si>
  <si>
    <t>6572-6612</t>
  </si>
  <si>
    <t>1970-2072,0-35</t>
  </si>
  <si>
    <t>0911310035</t>
  </si>
  <si>
    <t>OG_300</t>
  </si>
  <si>
    <t>GCRC #18</t>
  </si>
  <si>
    <t>26° 17' 9.35099" N</t>
  </si>
  <si>
    <t>81° 20' 22.67362" W</t>
  </si>
  <si>
    <t>3700'FNL&amp;1850'FEL</t>
  </si>
  <si>
    <t>20" @ 115.76'</t>
  </si>
  <si>
    <t>13-3/8" @ 1026.62'</t>
  </si>
  <si>
    <t>9-5/8"@ 4360.89'</t>
  </si>
  <si>
    <t>7" @ 11740.67'</t>
  </si>
  <si>
    <t>2-1/2" @ 11518'</t>
  </si>
  <si>
    <t>198.5 BOPD</t>
  </si>
  <si>
    <t>19.8 MCFPD</t>
  </si>
  <si>
    <t>19.8 BWPD</t>
  </si>
  <si>
    <t>11585-11589</t>
  </si>
  <si>
    <t>11599-11741,4018-4297,0-1820</t>
  </si>
  <si>
    <t>0902110034</t>
  </si>
  <si>
    <t>OG_301</t>
  </si>
  <si>
    <t>LTCLC #B-5</t>
  </si>
  <si>
    <t>IL GRN FT</t>
  </si>
  <si>
    <t>26° 18' 2.81246" N</t>
  </si>
  <si>
    <t>81° 22' 23.05272" W</t>
  </si>
  <si>
    <t>1927'FSL&amp;1831'FEL</t>
  </si>
  <si>
    <t>20" @ 205.85'</t>
  </si>
  <si>
    <t>13-3/8" @ 1351.67'</t>
  </si>
  <si>
    <t>9-5/8"@4392.31'</t>
  </si>
  <si>
    <t>7" @ 11648.81'</t>
  </si>
  <si>
    <t>2-1/2" @ 11551'</t>
  </si>
  <si>
    <t>108.7 BOPD</t>
  </si>
  <si>
    <t>10.8 MCFPD</t>
  </si>
  <si>
    <t>8 BWPD</t>
  </si>
  <si>
    <t>11580-11585</t>
  </si>
  <si>
    <t>11150-11600,4108-4492,4-1759</t>
  </si>
  <si>
    <t>0902110035</t>
  </si>
  <si>
    <t>OG_302</t>
  </si>
  <si>
    <t>CEP &amp; WBM</t>
  </si>
  <si>
    <t>LELAND F BOWMAN ETAL #1</t>
  </si>
  <si>
    <t>1S27 2N 4W</t>
  </si>
  <si>
    <t>30° 32' 46.09" N</t>
  </si>
  <si>
    <t>84° 36' 58.29041" W</t>
  </si>
  <si>
    <t>900'FNL&amp;660'FEL</t>
  </si>
  <si>
    <t>913-667</t>
  </si>
  <si>
    <t>0903910007</t>
  </si>
  <si>
    <t>Converted to water well</t>
  </si>
  <si>
    <t>OG_303</t>
  </si>
  <si>
    <t>DU PONT</t>
  </si>
  <si>
    <t>DU PONT #1</t>
  </si>
  <si>
    <t>4S1 7S 22E</t>
  </si>
  <si>
    <t>29° 54' 38.87197" N</t>
  </si>
  <si>
    <t>82° 3' 3.74483" W</t>
  </si>
  <si>
    <t>500'FSL&amp;1000'FEL</t>
  </si>
  <si>
    <t>OG_304</t>
  </si>
  <si>
    <t>FLORIDA STATE-224-B #3</t>
  </si>
  <si>
    <t>IEL SL GRN</t>
  </si>
  <si>
    <t>28° 5' 33.07132" N</t>
  </si>
  <si>
    <t>82° 52' 49.39133" W</t>
  </si>
  <si>
    <t>26"@ 80'</t>
  </si>
  <si>
    <t>13-3/8"@ 544'</t>
  </si>
  <si>
    <t>9-5/8"@ 4386'</t>
  </si>
  <si>
    <t>???-4273,400-500,100-125</t>
  </si>
  <si>
    <t>0930310013</t>
  </si>
  <si>
    <t>OG_305</t>
  </si>
  <si>
    <t>ERMINE M OWENBY #1</t>
  </si>
  <si>
    <t>2S29 2N 3W</t>
  </si>
  <si>
    <t>30° 32' 35.94368" N</t>
  </si>
  <si>
    <t>84° 33' 40.8487" W</t>
  </si>
  <si>
    <t>2080'FNL &amp; 950'FWL</t>
  </si>
  <si>
    <t>8-5/8"@487'</t>
  </si>
  <si>
    <t>1000-756 with 80 SX CMT.</t>
  </si>
  <si>
    <t>0903910008</t>
  </si>
  <si>
    <t>OG_306</t>
  </si>
  <si>
    <t>DU PONT #2</t>
  </si>
  <si>
    <t>IEL SL CL FT</t>
  </si>
  <si>
    <t>3S17 5S 23E</t>
  </si>
  <si>
    <t>30° 3' 25.26408" N</t>
  </si>
  <si>
    <t>82° 1' 19.14377" W</t>
  </si>
  <si>
    <t>500'FSL&amp;2361'FEL</t>
  </si>
  <si>
    <t>24"@ 308'</t>
  </si>
  <si>
    <t>16"@ 1990'</t>
  </si>
  <si>
    <t>11-3/4"@ 2040'</t>
  </si>
  <si>
    <t>3450'</t>
  </si>
  <si>
    <t>2140-1940,0-20</t>
  </si>
  <si>
    <t>0901910002</t>
  </si>
  <si>
    <t xml:space="preserve">Permitted as a drainage well by FL board of health permit # 10-1-63 </t>
  </si>
  <si>
    <t>OG_307</t>
  </si>
  <si>
    <t>THE GEOTECHNICAL CORP</t>
  </si>
  <si>
    <t>7"@ 6560</t>
  </si>
  <si>
    <t>3200-3106, 29-4</t>
  </si>
  <si>
    <t>Reentry of Permit 230</t>
  </si>
  <si>
    <t>OG_308</t>
  </si>
  <si>
    <t>PETER F MATTALIANO</t>
  </si>
  <si>
    <t>BCC #1</t>
  </si>
  <si>
    <t>DRY HOLE/WW</t>
  </si>
  <si>
    <t>1S12 4S 4E</t>
  </si>
  <si>
    <t>30° 9' 20.62778" N</t>
  </si>
  <si>
    <t>83° 52' 40.46016" W</t>
  </si>
  <si>
    <t>660'FNL&amp;1320'FEL</t>
  </si>
  <si>
    <t>14"@ 18.5'</t>
  </si>
  <si>
    <t>12"@ 50'</t>
  </si>
  <si>
    <t>Converted to water well for BCC</t>
  </si>
  <si>
    <t>0912310005</t>
  </si>
  <si>
    <t>Converted to water well and taken over by Buckeye Cellulose</t>
  </si>
  <si>
    <t>OG_309</t>
  </si>
  <si>
    <t>BCC #2A</t>
  </si>
  <si>
    <t>4S11 4S 4E</t>
  </si>
  <si>
    <t>30° 8' 53.3778" N</t>
  </si>
  <si>
    <t>83° 53' 54.37068" W</t>
  </si>
  <si>
    <t>1832'FSL&amp;2286'FEL</t>
  </si>
  <si>
    <t>22"@ 8'</t>
  </si>
  <si>
    <t>8-5/8"@ 253'</t>
  </si>
  <si>
    <t>700-500,260-240,10-0</t>
  </si>
  <si>
    <t>0912310006</t>
  </si>
  <si>
    <t>OG_310</t>
  </si>
  <si>
    <t>STEVENS ESTATE #1</t>
  </si>
  <si>
    <t>IEL DIL SL TL</t>
  </si>
  <si>
    <t>2S24 42S 24E</t>
  </si>
  <si>
    <t>26° 48' 17.29134" N</t>
  </si>
  <si>
    <t>81° 51' 48.7795" W</t>
  </si>
  <si>
    <t xml:space="preserve">1965'FSL&amp;1756'FEL </t>
  </si>
  <si>
    <t>24"@ 30'</t>
  </si>
  <si>
    <t>16"@ 555'</t>
  </si>
  <si>
    <t>9-5/8"@ 4115'</t>
  </si>
  <si>
    <t>11374-12432</t>
  </si>
  <si>
    <t>11320-11356</t>
  </si>
  <si>
    <t>???-4003,0-5</t>
  </si>
  <si>
    <t>0901510004</t>
  </si>
  <si>
    <t>OG_311</t>
  </si>
  <si>
    <t>GCRC #20</t>
  </si>
  <si>
    <t>3S28 48S 30E</t>
  </si>
  <si>
    <t>26° 16' 7.36313" N</t>
  </si>
  <si>
    <t>81° 19' 54.21378" W</t>
  </si>
  <si>
    <t>660'FSL&amp;660' FWL</t>
  </si>
  <si>
    <t>20" @ 209.46'</t>
  </si>
  <si>
    <t>13-3/8" @ 1447.23'</t>
  </si>
  <si>
    <t>9-5/8"@4420.05'</t>
  </si>
  <si>
    <t>7" @ 11708.07'</t>
  </si>
  <si>
    <t>2-7/8" @ 6026'</t>
  </si>
  <si>
    <t>11570-11687</t>
  </si>
  <si>
    <t>11592-11463</t>
  </si>
  <si>
    <t>11520-11620,4266-4400,0-30</t>
  </si>
  <si>
    <t>0902110036</t>
  </si>
  <si>
    <t>OG_312</t>
  </si>
  <si>
    <t>HUMBLE OIL &amp; REFINING CO, CALUMET</t>
  </si>
  <si>
    <t>GCRC #19</t>
  </si>
  <si>
    <t>IEL GRN</t>
  </si>
  <si>
    <t>2S20 48S 30E</t>
  </si>
  <si>
    <t>26° 17' 23.75128" N</t>
  </si>
  <si>
    <t>81° 20' 41.22744" W</t>
  </si>
  <si>
    <t>2158'FNL&amp;2042'FWL</t>
  </si>
  <si>
    <t>20" @ 204'</t>
  </si>
  <si>
    <t>13-3/8" @ 1445'</t>
  </si>
  <si>
    <t>9-5/8"@4422'</t>
  </si>
  <si>
    <t>7" @ 11658'</t>
  </si>
  <si>
    <t>2-7/8" @ 5005'</t>
  </si>
  <si>
    <t>11409-11627</t>
  </si>
  <si>
    <t>738 BOPD</t>
  </si>
  <si>
    <t>NEG</t>
  </si>
  <si>
    <t>31 BWPD</t>
  </si>
  <si>
    <t>11583-11588</t>
  </si>
  <si>
    <t>11397-11513</t>
  </si>
  <si>
    <t>0902110037</t>
  </si>
  <si>
    <t>Plugged hole back and kicked off 312AH</t>
  </si>
  <si>
    <t>312AH</t>
  </si>
  <si>
    <t>GCRC #19AH</t>
  </si>
  <si>
    <t>PROD</t>
  </si>
  <si>
    <t>GR/TVD GRCCL MUD DIR</t>
  </si>
  <si>
    <t>2450FNL&amp;1180FWL</t>
  </si>
  <si>
    <t>7" @ 11513'</t>
  </si>
  <si>
    <t>3 1/2" @ 11130'</t>
  </si>
  <si>
    <t>11516-11695' cuttings</t>
  </si>
  <si>
    <t>31 BOPD</t>
  </si>
  <si>
    <t>33 MCFPD</t>
  </si>
  <si>
    <t>5580 BWPD</t>
  </si>
  <si>
    <t>OH 12347-12754 MD</t>
  </si>
  <si>
    <t>0902110037-01</t>
  </si>
  <si>
    <t>KO csg window 11513-11540 MD, 2-7/8" scab liner 11397-12347</t>
  </si>
  <si>
    <t>OG_313</t>
  </si>
  <si>
    <t>MARSHALL R YOUNG DRILLING CO</t>
  </si>
  <si>
    <t>CARLTON-MAY #1</t>
  </si>
  <si>
    <t>1S18 5N 29W</t>
  </si>
  <si>
    <t>30° 56' 36.9245" N</t>
  </si>
  <si>
    <t>87° 8' 26.92925" W</t>
  </si>
  <si>
    <t>8-5/8"@ 640'</t>
  </si>
  <si>
    <t>1894-2006,580-680,0-50</t>
  </si>
  <si>
    <t>0911310036</t>
  </si>
  <si>
    <t>OG_314</t>
  </si>
  <si>
    <t>SUNOCO FELDA</t>
  </si>
  <si>
    <t>SUN OIL CO, NOW EXXON</t>
  </si>
  <si>
    <t>IEL SL DN NL</t>
  </si>
  <si>
    <t>1S30 45S 29E</t>
  </si>
  <si>
    <t>26° 32' 28.34891" N</t>
  </si>
  <si>
    <t>81° 27' 24.30947" W</t>
  </si>
  <si>
    <t>661'FNL&amp;1997'FEL</t>
  </si>
  <si>
    <t>20" @ 215'</t>
  </si>
  <si>
    <t>13-3/8" @ 1430'</t>
  </si>
  <si>
    <t>9-5/8" @ 4471'</t>
  </si>
  <si>
    <t>5-1/2" @ 11585'</t>
  </si>
  <si>
    <t>2-1/2" 5081'</t>
  </si>
  <si>
    <t>40 BOPD</t>
  </si>
  <si>
    <t>3.6 MCFPD</t>
  </si>
  <si>
    <t>310 BWPD</t>
  </si>
  <si>
    <t>11,482.5-11484.5</t>
  </si>
  <si>
    <t>10290-12680,3056-3278,1239-1935,0-150</t>
  </si>
  <si>
    <t>0905110008</t>
  </si>
  <si>
    <t>OG_315</t>
  </si>
  <si>
    <t>RED CATTLE CO 32-1</t>
  </si>
  <si>
    <t>IEL SL</t>
  </si>
  <si>
    <t>1S32 45S 29E</t>
  </si>
  <si>
    <t>26° 31' 38.28774" N</t>
  </si>
  <si>
    <t>81° 26' 15.87858" W</t>
  </si>
  <si>
    <t>737'FNL&amp;939'FEL</t>
  </si>
  <si>
    <t>20" @ 120'</t>
  </si>
  <si>
    <t>13-3/8" @ 1495'</t>
  </si>
  <si>
    <t>9-5/8" @ 4506'</t>
  </si>
  <si>
    <t>5-1/2" @ 11471'</t>
  </si>
  <si>
    <t>2-1/2" 5028'</t>
  </si>
  <si>
    <t>11467-11485L</t>
  </si>
  <si>
    <t>427 BOPD</t>
  </si>
  <si>
    <t>53 MCFPD</t>
  </si>
  <si>
    <t>11 BWPD</t>
  </si>
  <si>
    <t>OH 11472-11485</t>
  </si>
  <si>
    <t>11490-10834,4470-4238,2091-1282,780,100-4</t>
  </si>
  <si>
    <t>0905110009</t>
  </si>
  <si>
    <t>Sunoco Felda Field discovery well</t>
  </si>
  <si>
    <t>OG_316</t>
  </si>
  <si>
    <t>GCRC #21</t>
  </si>
  <si>
    <t>26° 17' 24.64338" N</t>
  </si>
  <si>
    <t>81° 21' 40.63916" W</t>
  </si>
  <si>
    <t>20" @ 209'</t>
  </si>
  <si>
    <t>13-3/8" @ 1381'</t>
  </si>
  <si>
    <t>9-5/8" @ 4470'</t>
  </si>
  <si>
    <t>7" @ 11649'</t>
  </si>
  <si>
    <t>2-7/8" @ 11423'</t>
  </si>
  <si>
    <t>11417-436'</t>
  </si>
  <si>
    <t>1900 0IL 2KWATER</t>
  </si>
  <si>
    <t>376 BOPD</t>
  </si>
  <si>
    <t>202 BWPD</t>
  </si>
  <si>
    <t>11589-11599</t>
  </si>
  <si>
    <t>10834-11340,4349-4400,780-1830,0-434</t>
  </si>
  <si>
    <t>0902110038</t>
  </si>
  <si>
    <t>OG_317</t>
  </si>
  <si>
    <t>GCRC #22</t>
  </si>
  <si>
    <t>26° 17' 8.28647" N</t>
  </si>
  <si>
    <t>81° 20' 41.4532" W</t>
  </si>
  <si>
    <t>1620'FSL&amp;1980'FWL</t>
  </si>
  <si>
    <t>20" @ 213'</t>
  </si>
  <si>
    <t>13-3/8" @ 1425'</t>
  </si>
  <si>
    <t>9-5/8"@4412'</t>
  </si>
  <si>
    <t>7" @ 11654'</t>
  </si>
  <si>
    <t>2-7/8"@ 5052'</t>
  </si>
  <si>
    <t>552 BOPD</t>
  </si>
  <si>
    <t>61 BWPD</t>
  </si>
  <si>
    <t>11582-11590</t>
  </si>
  <si>
    <t>7115-7555,4153-4340,0-1815</t>
  </si>
  <si>
    <t>0902110039</t>
  </si>
  <si>
    <t>OG_318</t>
  </si>
  <si>
    <t>M F KIRBY-SUN OIL CO</t>
  </si>
  <si>
    <t>JAY UNIT #1</t>
  </si>
  <si>
    <t>2S22 5N 29W</t>
  </si>
  <si>
    <t>30° 56' 18.64802" N</t>
  </si>
  <si>
    <t>87° 9' 56.94955" W</t>
  </si>
  <si>
    <t>279' FNL&amp;2144' FWL</t>
  </si>
  <si>
    <t>8-5/8"@ 625'</t>
  </si>
  <si>
    <t>3700-3850,600-750,0-??? (5 sacks cement)</t>
  </si>
  <si>
    <t>0911310037</t>
  </si>
  <si>
    <t>OG_319</t>
  </si>
  <si>
    <t>COLLIER CO #1</t>
  </si>
  <si>
    <t>1S4 46S 29E</t>
  </si>
  <si>
    <t>26° 30' 42.04919" N</t>
  </si>
  <si>
    <t>81° 25' 23.48375" W</t>
  </si>
  <si>
    <t>1585'FNL&amp;1410'FEL</t>
  </si>
  <si>
    <t>20"@ 89'</t>
  </si>
  <si>
    <t>13-3/8"@1360'</t>
  </si>
  <si>
    <t>1245-1280</t>
  </si>
  <si>
    <t>0902110040</t>
  </si>
  <si>
    <t>Converted to artesian water well</t>
  </si>
  <si>
    <t>319A</t>
  </si>
  <si>
    <t>COLLIER CO #1-A</t>
  </si>
  <si>
    <t>IEL SL CALIP</t>
  </si>
  <si>
    <t>30"@37'/20"@ 169'</t>
  </si>
  <si>
    <t>13-3/8" @ 1449'</t>
  </si>
  <si>
    <t>9-5/8"@ 3693'</t>
  </si>
  <si>
    <t>5-1/2"@ 11,488'</t>
  </si>
  <si>
    <t>2-1/2" @ 5573'</t>
  </si>
  <si>
    <t>127 BOPD</t>
  </si>
  <si>
    <t>8.35 MCFPD</t>
  </si>
  <si>
    <t>226 BWPD</t>
  </si>
  <si>
    <t>OH 11488-11495</t>
  </si>
  <si>
    <t>11019-11495,3270-3642,510-2054,0-200</t>
  </si>
  <si>
    <t>0902110040-01</t>
  </si>
  <si>
    <t>OG_320</t>
  </si>
  <si>
    <t>MRYDC ETAL</t>
  </si>
  <si>
    <t>N L GOLDEN #1</t>
  </si>
  <si>
    <t>1S23 5N 29W</t>
  </si>
  <si>
    <t>30° 56' 12.33946" N</t>
  </si>
  <si>
    <t>87° 8' 29.37944" W</t>
  </si>
  <si>
    <t>7"@636'</t>
  </si>
  <si>
    <t>1800-2000,636-736,0-15</t>
  </si>
  <si>
    <t>0911310038</t>
  </si>
  <si>
    <t>OG_321</t>
  </si>
  <si>
    <t>COLLIER CO #3-2</t>
  </si>
  <si>
    <t>2S3 46S 29E</t>
  </si>
  <si>
    <t>26° 30' 42.74166" N</t>
  </si>
  <si>
    <t>81° 24' 53.40259" W</t>
  </si>
  <si>
    <t>1370'FNL&amp;1328'FWL</t>
  </si>
  <si>
    <t>30" @ 30'</t>
  </si>
  <si>
    <t>13-3/8" @ 1188'</t>
  </si>
  <si>
    <t>9-5/8"@ 3540'</t>
  </si>
  <si>
    <t>11360-11675,3340-3640,</t>
  </si>
  <si>
    <t>0902110041</t>
  </si>
  <si>
    <t>OG_322</t>
  </si>
  <si>
    <t>SFU #33-2</t>
  </si>
  <si>
    <t>IEL SL CALIPER CEMENT BOND</t>
  </si>
  <si>
    <t>2S33 45S 29E</t>
  </si>
  <si>
    <t>26° 31' 34.58791" N</t>
  </si>
  <si>
    <t>81° 25' 49.93424" W</t>
  </si>
  <si>
    <t>1121'FNL&amp;1431'FWL</t>
  </si>
  <si>
    <t>20"@ 182'</t>
  </si>
  <si>
    <t>13-3/8"@ 1395'</t>
  </si>
  <si>
    <t>9-5/8"@ 3699'</t>
  </si>
  <si>
    <t>5-1/2"@ 11466'</t>
  </si>
  <si>
    <t>2-7/8"@ 5500'</t>
  </si>
  <si>
    <t>336 BOPD</t>
  </si>
  <si>
    <t>43 MCFPD</t>
  </si>
  <si>
    <t>1.4 BWPD</t>
  </si>
  <si>
    <t>OH 11466-11480</t>
  </si>
  <si>
    <t>10645-11260,3423-3636,1110-1930,450-850,0-200</t>
  </si>
  <si>
    <t>0905110010</t>
  </si>
  <si>
    <t>OG_323</t>
  </si>
  <si>
    <t>ORYX CRUDE TRADING &amp; TRANSPORTATION</t>
  </si>
  <si>
    <t>RED CATTLE CO #32-2</t>
  </si>
  <si>
    <t>2S32 45S 29E</t>
  </si>
  <si>
    <t>26° 31' 40.42254" N</t>
  </si>
  <si>
    <t>81° 26' 40.72896" W</t>
  </si>
  <si>
    <t>700'FNL&amp;1799'FEL</t>
  </si>
  <si>
    <t>20"@ 189'</t>
  </si>
  <si>
    <t>13-3/8"@1368'</t>
  </si>
  <si>
    <t>5-1/2"@ 2134'</t>
  </si>
  <si>
    <t>2-7/8" @ 2018'</t>
  </si>
  <si>
    <t>0905110011</t>
  </si>
  <si>
    <t>Junked Hole converted to SWD/ EPA Permit # FLI0005</t>
  </si>
  <si>
    <t>323A</t>
  </si>
  <si>
    <t>OG_323A</t>
  </si>
  <si>
    <t>RED CATTLE CO #32-2A</t>
  </si>
  <si>
    <t>IEL CALIPER</t>
  </si>
  <si>
    <t>26° 31' 40.42794" N</t>
  </si>
  <si>
    <t>81° 26' 46.2476" W</t>
  </si>
  <si>
    <t>700'FNL&amp;1318'FWL</t>
  </si>
  <si>
    <t>30"@40'/20"@ 188'</t>
  </si>
  <si>
    <t>13-3/8"@ 1320'</t>
  </si>
  <si>
    <t>9-5/8"@ 3491'</t>
  </si>
  <si>
    <t>5-1/2"@ 11,486'</t>
  </si>
  <si>
    <t>115 BOPD</t>
  </si>
  <si>
    <t>10.7 MCFPD</t>
  </si>
  <si>
    <t>79 BWPD</t>
  </si>
  <si>
    <t>11,486-11,493</t>
  </si>
  <si>
    <t>11487-10669,3432-3209,2120-1120,780-380,240-0</t>
  </si>
  <si>
    <t>0905110011-01</t>
  </si>
  <si>
    <t>OG_324</t>
  </si>
  <si>
    <t>RED CATTLE CO #29-4</t>
  </si>
  <si>
    <t>4S29 45S 29E</t>
  </si>
  <si>
    <t>26° 31' 58.96978" N</t>
  </si>
  <si>
    <t>81° 26' 19.40734" W</t>
  </si>
  <si>
    <t>1350'FSL&amp;1300'FEL</t>
  </si>
  <si>
    <t>30" @ 40'</t>
  </si>
  <si>
    <t>9-5/8" @ 3535'</t>
  </si>
  <si>
    <t>5-1/2" @ 11461'</t>
  </si>
  <si>
    <t>2-1/2" @ 5533'</t>
  </si>
  <si>
    <t>333 BOPD</t>
  </si>
  <si>
    <t>48 MCFPD</t>
  </si>
  <si>
    <t>15 BWPD</t>
  </si>
  <si>
    <t>11461-11472</t>
  </si>
  <si>
    <t>10400,3270-3485,907-2130,380-780,4-104</t>
  </si>
  <si>
    <t>0905110012</t>
  </si>
  <si>
    <t>OG_325</t>
  </si>
  <si>
    <t>SFU #27-3</t>
  </si>
  <si>
    <t>3S27 45S 29E</t>
  </si>
  <si>
    <t>26° 31' 57.13165" N</t>
  </si>
  <si>
    <t>81° 24' 49.8771" W</t>
  </si>
  <si>
    <t xml:space="preserve">1077'FSL&amp;1529'FWL </t>
  </si>
  <si>
    <t>30"@ 30'/20"@180'</t>
  </si>
  <si>
    <t>13-3/8"@ 1307'</t>
  </si>
  <si>
    <t>11480-11494</t>
  </si>
  <si>
    <t>11316-11516,3435-3635,1136-1336,0-???</t>
  </si>
  <si>
    <t>0905110013</t>
  </si>
  <si>
    <t>OG_326</t>
  </si>
  <si>
    <t>SFU #28-3</t>
  </si>
  <si>
    <t>IEL SL CALIPER</t>
  </si>
  <si>
    <t>3S28 45S 29E</t>
  </si>
  <si>
    <t>26° 31' 56.31042" N</t>
  </si>
  <si>
    <t>81° 25' 49.43953" W</t>
  </si>
  <si>
    <t>1059'FSL&amp;1460'FWL</t>
  </si>
  <si>
    <t>30"@ 39'/20"@185'</t>
  </si>
  <si>
    <t>13-3/8" @ 1116'</t>
  </si>
  <si>
    <t>5-1/2" @ 11612'</t>
  </si>
  <si>
    <t>11465-11597</t>
  </si>
  <si>
    <t>267 BOPD</t>
  </si>
  <si>
    <t>35 MCFPD</t>
  </si>
  <si>
    <t>165 BWPD</t>
  </si>
  <si>
    <t>11472'-11478'</t>
  </si>
  <si>
    <t>11,115-11478,3256-3485,1710-2124, 0-1312</t>
  </si>
  <si>
    <t>0905110014</t>
  </si>
  <si>
    <t>OG_327</t>
  </si>
  <si>
    <t>RED CATTLE CO #32-4</t>
  </si>
  <si>
    <t>GRN</t>
  </si>
  <si>
    <t>4S32 45S 29E</t>
  </si>
  <si>
    <t>26° 31' 13.62043" N</t>
  </si>
  <si>
    <t>81° 26' 13.76167" W</t>
  </si>
  <si>
    <t>1800'FSL&amp;700'FEL</t>
  </si>
  <si>
    <t>13-3/8"@ 1155'</t>
  </si>
  <si>
    <t>9-5/8"@ 3405'</t>
  </si>
  <si>
    <t>5-1/2"@ 11459'</t>
  </si>
  <si>
    <t>2-1/2"@ 4565'</t>
  </si>
  <si>
    <t>1286-1799</t>
  </si>
  <si>
    <t>306 BOPD</t>
  </si>
  <si>
    <t>44 MCFPD</t>
  </si>
  <si>
    <t>17 BWPD</t>
  </si>
  <si>
    <t>OH 11459-11471</t>
  </si>
  <si>
    <t>10930-11158,3455-3239,2122-970,790-4</t>
  </si>
  <si>
    <t>0905110015</t>
  </si>
  <si>
    <t>OG_328</t>
  </si>
  <si>
    <t>SFU #33-3</t>
  </si>
  <si>
    <t>3S33 45S 29E</t>
  </si>
  <si>
    <t>26° 31' 13.55491" N</t>
  </si>
  <si>
    <t>81° 25' 46.32287" W</t>
  </si>
  <si>
    <t>1823'FWL&amp;1782'FSL</t>
  </si>
  <si>
    <t>13-3/8"@ 1125'</t>
  </si>
  <si>
    <t>9-5/8"@ 3270'</t>
  </si>
  <si>
    <t>5-1/2"@ 11477'</t>
  </si>
  <si>
    <t>2-1/2"@ 4622'</t>
  </si>
  <si>
    <t>11472-11486</t>
  </si>
  <si>
    <t>355 BOPD</t>
  </si>
  <si>
    <t>21 BWPD</t>
  </si>
  <si>
    <t>11477-11487</t>
  </si>
  <si>
    <t>10495-11240,2992-3220,450-2118,0-250</t>
  </si>
  <si>
    <t>0905120016</t>
  </si>
  <si>
    <t>OG_329</t>
  </si>
  <si>
    <t>RED CATTLE CO #19-4</t>
  </si>
  <si>
    <t>4S19 45S 29E</t>
  </si>
  <si>
    <t>26° 32' 48.97459" N</t>
  </si>
  <si>
    <t>81° 27' 17.88109" W</t>
  </si>
  <si>
    <t>1400'FSL&amp;1200'FEL</t>
  </si>
  <si>
    <t>13-3/8"@ 1150'</t>
  </si>
  <si>
    <t>9-5/8"@ 3525'</t>
  </si>
  <si>
    <t>5-1/2"@ 11549'</t>
  </si>
  <si>
    <t>2-1\2" @ 7018'</t>
  </si>
  <si>
    <t>11461-11484</t>
  </si>
  <si>
    <t>66 BOPD</t>
  </si>
  <si>
    <t>5.61 MCFPD</t>
  </si>
  <si>
    <t>102 BWPD</t>
  </si>
  <si>
    <t>11469-11471</t>
  </si>
  <si>
    <t>10400-11154,4760-5110,3319-3508,968-2050,4-200</t>
  </si>
  <si>
    <t>0905110017</t>
  </si>
  <si>
    <t>OG_330</t>
  </si>
  <si>
    <t>SFU #33-4</t>
  </si>
  <si>
    <t>PRODUCER/WIW</t>
  </si>
  <si>
    <t>4S33 45S 29E</t>
  </si>
  <si>
    <t>26° 31' 8.64026" N</t>
  </si>
  <si>
    <t>81° 25' 23.03486" W</t>
  </si>
  <si>
    <t xml:space="preserve">1250'FSL&amp;1400'FEL </t>
  </si>
  <si>
    <t>20" @ 142'</t>
  </si>
  <si>
    <t>13-3\8" @ 1230'</t>
  </si>
  <si>
    <t>9-5/8" @ 3531'</t>
  </si>
  <si>
    <t>5-1/2" @ 11484'</t>
  </si>
  <si>
    <t>2-1/2" @ 6504'</t>
  </si>
  <si>
    <t>33 BOPD</t>
  </si>
  <si>
    <t>2.88 MCFPD</t>
  </si>
  <si>
    <t>235 BWPD</t>
  </si>
  <si>
    <t>11484-11490</t>
  </si>
  <si>
    <t>10494-11055,3010-3610,1138-2105,0-150</t>
  </si>
  <si>
    <t>0905110018</t>
  </si>
  <si>
    <t>OG_331</t>
  </si>
  <si>
    <t>BARNETT SERIO</t>
  </si>
  <si>
    <t>STATE OF FLORIDA-1939-1939-S #1</t>
  </si>
  <si>
    <t>IEL BHCS</t>
  </si>
  <si>
    <t>3S15 54S 35E</t>
  </si>
  <si>
    <t>25° 46' 2.96918" N</t>
  </si>
  <si>
    <t>80° 49' 27.08267" W</t>
  </si>
  <si>
    <t>1300'FSL&amp;978'FWL</t>
  </si>
  <si>
    <t>20"@ 200'</t>
  </si>
  <si>
    <t>13-5/8"@ 1117'</t>
  </si>
  <si>
    <t>9-5/8"@ 4007</t>
  </si>
  <si>
    <t>9869-9850</t>
  </si>
  <si>
    <t>11347-11382</t>
  </si>
  <si>
    <t>11370-11270,4075-3925,15-0</t>
  </si>
  <si>
    <t>0902510011</t>
  </si>
  <si>
    <t>USGS monitoring well?????</t>
  </si>
  <si>
    <t>OG_332</t>
  </si>
  <si>
    <t>SFU #29-1</t>
  </si>
  <si>
    <t>1S29 45S 29E</t>
  </si>
  <si>
    <t>26° 35' 24.26028" N</t>
  </si>
  <si>
    <t>81° 26' 18.79498" W</t>
  </si>
  <si>
    <t>1548'FNL&amp;1301'FEL</t>
  </si>
  <si>
    <t>20" @ 70'</t>
  </si>
  <si>
    <t>13-3/8" @ 1124'</t>
  </si>
  <si>
    <t>9-5/8" @ 3519'</t>
  </si>
  <si>
    <t>5-1/2" @ 11464'</t>
  </si>
  <si>
    <t>2-1/2" @ 5056'</t>
  </si>
  <si>
    <t>210 BOPD</t>
  </si>
  <si>
    <t>17 MCFPD</t>
  </si>
  <si>
    <t>59 BWPD</t>
  </si>
  <si>
    <t>11464-11474</t>
  </si>
  <si>
    <t>10808-11375,3135-3469,955-2015,450-850,0-200</t>
  </si>
  <si>
    <t>0905110019</t>
  </si>
  <si>
    <t>OG_333</t>
  </si>
  <si>
    <t>RED CATTLE CO #29-3</t>
  </si>
  <si>
    <t>3S29 45S 29E</t>
  </si>
  <si>
    <t>26° 31' 59.27099" N</t>
  </si>
  <si>
    <t>81° 26' 48.88241" W</t>
  </si>
  <si>
    <t xml:space="preserve">1400'FSL&amp;1300'FWL </t>
  </si>
  <si>
    <t>20"@ 70'</t>
  </si>
  <si>
    <t>13-3/8"@ 1172'</t>
  </si>
  <si>
    <t>9-5/8"@ 3542'</t>
  </si>
  <si>
    <t>5-1/2"@ 11480'</t>
  </si>
  <si>
    <t>2-1/2"@ 5045'</t>
  </si>
  <si>
    <t>302 BOPD</t>
  </si>
  <si>
    <t>37 MCFPD</t>
  </si>
  <si>
    <t>22 BWPD</t>
  </si>
  <si>
    <t>11480-11489</t>
  </si>
  <si>
    <t>11476-10445,3213-3492,2150-998,760-360,4-100</t>
  </si>
  <si>
    <t>0905110020</t>
  </si>
  <si>
    <t>OG_334</t>
  </si>
  <si>
    <t>RED CATTLE CO #29-2</t>
  </si>
  <si>
    <t>2S29 45S 29E</t>
  </si>
  <si>
    <t>26° 32' 21.36286" N</t>
  </si>
  <si>
    <t>81° 26' 46.76521" W</t>
  </si>
  <si>
    <t xml:space="preserve">1200'FNL&amp;1400'FWL </t>
  </si>
  <si>
    <t>20" @ 67'</t>
  </si>
  <si>
    <t>13-3/8" @ 1134'</t>
  </si>
  <si>
    <t>9-5\8" @ 3550'</t>
  </si>
  <si>
    <t>5-1/2" @ 11469'</t>
  </si>
  <si>
    <t>2-1/2" @ 4510'</t>
  </si>
  <si>
    <t>164 BOPD</t>
  </si>
  <si>
    <t>22.1 MCFPD</t>
  </si>
  <si>
    <t>38 BWPD</t>
  </si>
  <si>
    <t>OH 11469-11478</t>
  </si>
  <si>
    <t>11478-11228,2708-2198,2150-0</t>
  </si>
  <si>
    <t>0905110021</t>
  </si>
  <si>
    <t>OG_335</t>
  </si>
  <si>
    <t>SFU #28-2</t>
  </si>
  <si>
    <t>2S28 45S 29E</t>
  </si>
  <si>
    <t>26° 32' 20.22295" N</t>
  </si>
  <si>
    <t>81° 25' 53.09126" W</t>
  </si>
  <si>
    <t xml:space="preserve">1561'FNL&amp;1028'FWL </t>
  </si>
  <si>
    <t>20"@ 72'</t>
  </si>
  <si>
    <t>13-3/8"@ 1073'</t>
  </si>
  <si>
    <t>9-5/8" @ 3505'</t>
  </si>
  <si>
    <t>2-1/2" @ 6524'</t>
  </si>
  <si>
    <t>10730-11460</t>
  </si>
  <si>
    <t>318 BOPD</t>
  </si>
  <si>
    <t>46 MCFPD</t>
  </si>
  <si>
    <t>60 BWPD</t>
  </si>
  <si>
    <t>11467-11477</t>
  </si>
  <si>
    <t>11313-10303,3455-3223,2110-1704,1208-4</t>
  </si>
  <si>
    <t>0905110022</t>
  </si>
  <si>
    <t>OG_336</t>
  </si>
  <si>
    <t>SFU #33-1</t>
  </si>
  <si>
    <t>1S33 45S 29E</t>
  </si>
  <si>
    <t>26° 31' 39.49057" N</t>
  </si>
  <si>
    <t>81° 25' 28.66955" W</t>
  </si>
  <si>
    <t>660'FNL&amp;1996'FEL</t>
  </si>
  <si>
    <t>13-3/8"@ 1152'</t>
  </si>
  <si>
    <t>9-5/8"@ 3410'</t>
  </si>
  <si>
    <t>5-1/2"@ 11462</t>
  </si>
  <si>
    <t>2-1/2" @ 5052'</t>
  </si>
  <si>
    <t>44.37 MCFPD</t>
  </si>
  <si>
    <t>OH 11462-11475</t>
  </si>
  <si>
    <t>10693-11470,3124-3332,1001-2021,370-850,0-210</t>
  </si>
  <si>
    <t>0905110023</t>
  </si>
  <si>
    <t>OG_337</t>
  </si>
  <si>
    <t>SFU #28-4</t>
  </si>
  <si>
    <t>4S28 45S 29E</t>
  </si>
  <si>
    <t>26° 31' 57.08816" N</t>
  </si>
  <si>
    <t>81° 25' 25.81576" W</t>
  </si>
  <si>
    <t xml:space="preserve">1088'FSL&amp;1764'FEL </t>
  </si>
  <si>
    <t>150 BOPD</t>
  </si>
  <si>
    <t>12.2 MCFPD</t>
  </si>
  <si>
    <t>40 BWPD</t>
  </si>
  <si>
    <t>11462-11469</t>
  </si>
  <si>
    <t>11483-11407,11332-11131,3475-3270,2070-460,200-0</t>
  </si>
  <si>
    <t>0905110024</t>
  </si>
  <si>
    <t>OG_338</t>
  </si>
  <si>
    <t>GILBERT E THAYER &amp; SAM F DAVIS</t>
  </si>
  <si>
    <t>FRANCES P RIPLEY ETAL #1</t>
  </si>
  <si>
    <t>1S23 4S 17E</t>
  </si>
  <si>
    <t>30° 7' 58.11046" N</t>
  </si>
  <si>
    <t>82° 34' 38.21322" W</t>
  </si>
  <si>
    <t>829'FNL&amp;575'FEL</t>
  </si>
  <si>
    <t>20"@ 86'</t>
  </si>
  <si>
    <t>13-3/8"@ 155'</t>
  </si>
  <si>
    <t>8-5/8"@ 1274'</t>
  </si>
  <si>
    <t>1224-1424,0-25</t>
  </si>
  <si>
    <t>0902310008</t>
  </si>
  <si>
    <t>OG_339</t>
  </si>
  <si>
    <t>J S MICHAEL CO</t>
  </si>
  <si>
    <t>4S15 4S 18E</t>
  </si>
  <si>
    <t>30° 8' 23.9734" N</t>
  </si>
  <si>
    <t>82° 29' 37.53931" W</t>
  </si>
  <si>
    <t>1452'FSL&amp;660'FEL</t>
  </si>
  <si>
    <t>13-3/8"@ 146'</t>
  </si>
  <si>
    <t>8-5/8"@ 1376'</t>
  </si>
  <si>
    <t>2070-1970,1376-1326,25-0</t>
  </si>
  <si>
    <t>0902310009</t>
  </si>
  <si>
    <t>OG_340</t>
  </si>
  <si>
    <t>SFU #21-3</t>
  </si>
  <si>
    <t>IEL SL NL</t>
  </si>
  <si>
    <t>3S21 45S 29E</t>
  </si>
  <si>
    <t>26° 32' 42.70027" N</t>
  </si>
  <si>
    <t>81° 25' 55.06464" W</t>
  </si>
  <si>
    <t>700'FSL&amp;860'FWL</t>
  </si>
  <si>
    <t>13-3\8" @ 1115'</t>
  </si>
  <si>
    <t>9-5\8" @ 3374'</t>
  </si>
  <si>
    <t>5-1/2" @ 11550'</t>
  </si>
  <si>
    <t>2-1/2" @ 6486'</t>
  </si>
  <si>
    <t>11437-11511.5</t>
  </si>
  <si>
    <t>11460-11487</t>
  </si>
  <si>
    <t>90 BOPD</t>
  </si>
  <si>
    <t>6.3 MCFPD</t>
  </si>
  <si>
    <t>124 BWPD</t>
  </si>
  <si>
    <t>11462-11470</t>
  </si>
  <si>
    <t>11187-11550,3081-3324, 933-2030, 268-850,4-215</t>
  </si>
  <si>
    <t>0905110025</t>
  </si>
  <si>
    <t>OG_341</t>
  </si>
  <si>
    <t>SFU #20-3</t>
  </si>
  <si>
    <t>3S20 45S 29E</t>
  </si>
  <si>
    <t>26° 32' 47.09814" N</t>
  </si>
  <si>
    <t>81° 26' 50.15368" W</t>
  </si>
  <si>
    <t xml:space="preserve">1200'FSL&amp;1200'FWL </t>
  </si>
  <si>
    <t>0905110026</t>
  </si>
  <si>
    <t>OG_342</t>
  </si>
  <si>
    <t>SFU #20-4</t>
  </si>
  <si>
    <t>4S20 45S 29E</t>
  </si>
  <si>
    <t>26° 32' 48.5934" N</t>
  </si>
  <si>
    <t>81° 26' 19.32882" W</t>
  </si>
  <si>
    <t xml:space="preserve">1320'FSL&amp;1320'FEL </t>
  </si>
  <si>
    <t>20" @ 69'</t>
  </si>
  <si>
    <t>13-3\8" @ 1043'</t>
  </si>
  <si>
    <t>9-5\8" @ 2928'</t>
  </si>
  <si>
    <t>5-1\2" @ 11525'</t>
  </si>
  <si>
    <t>2-1\2" @ 7039'</t>
  </si>
  <si>
    <t>4 BOPD</t>
  </si>
  <si>
    <t>.22 MCFPD</t>
  </si>
  <si>
    <t>201 BWPD</t>
  </si>
  <si>
    <t>11471-11474</t>
  </si>
  <si>
    <t>10955-11525,3131-3353,2714-2904,774-1976,0-150</t>
  </si>
  <si>
    <t>0905110027</t>
  </si>
  <si>
    <t>OG_343</t>
  </si>
  <si>
    <t>LTCLC #24-1</t>
  </si>
  <si>
    <t>1S24 45S 28E</t>
  </si>
  <si>
    <t>26° 33' 17.12682" N</t>
  </si>
  <si>
    <t>81° 28' 12.5116" W</t>
  </si>
  <si>
    <t>1041'FNL&amp;1037'FEL</t>
  </si>
  <si>
    <t>20" @ 122'</t>
  </si>
  <si>
    <t>13-3\8" @ 1135'</t>
  </si>
  <si>
    <t>9-5\8" @ 3542'</t>
  </si>
  <si>
    <t>5-1\2" @ 11551'</t>
  </si>
  <si>
    <t>2-1\2" @ 5583'</t>
  </si>
  <si>
    <t>53 BOPD</t>
  </si>
  <si>
    <t>3.22 MCFPD</t>
  </si>
  <si>
    <t>11460-11464</t>
  </si>
  <si>
    <t>11180-11474,3400-3500,1000-1100,4-25</t>
  </si>
  <si>
    <t>0905110028</t>
  </si>
  <si>
    <t>OG_344</t>
  </si>
  <si>
    <t>GCRC #23-A</t>
  </si>
  <si>
    <t>SL GRN CALIPER</t>
  </si>
  <si>
    <t>26° 17' 51.6322" N</t>
  </si>
  <si>
    <t>81° 21' 55.67587" W</t>
  </si>
  <si>
    <t>764'FSL&amp;676'FWL</t>
  </si>
  <si>
    <t>20" @ 180'</t>
  </si>
  <si>
    <t>13-3\8" @ 1045'</t>
  </si>
  <si>
    <t>9-5\8" @ 3650'</t>
  </si>
  <si>
    <t>5-1\2" @ 11654'</t>
  </si>
  <si>
    <t>2-7\8" @ 8000'</t>
  </si>
  <si>
    <t>584 BOPD</t>
  </si>
  <si>
    <t>NEGLIGIBLE</t>
  </si>
  <si>
    <t>44 BWPD</t>
  </si>
  <si>
    <t>11576-11590</t>
  </si>
  <si>
    <t>11590-11290,3870-3400,2034-4</t>
  </si>
  <si>
    <t>0902110042</t>
  </si>
  <si>
    <t>Original hole abandoned(stuck pipe @ 3650). Rig skidded 100' North</t>
  </si>
  <si>
    <t>OG_345</t>
  </si>
  <si>
    <t>GCRC #24</t>
  </si>
  <si>
    <t>IEL SL GRN DL</t>
  </si>
  <si>
    <t>1S24 48S 29E</t>
  </si>
  <si>
    <t>26° 17' 24.45515" N</t>
  </si>
  <si>
    <t>81° 22' 9.71058" W</t>
  </si>
  <si>
    <t>20" @ 192'</t>
  </si>
  <si>
    <t>13-3\8" @ 1387'</t>
  </si>
  <si>
    <t>9-5\8" @ 3695'</t>
  </si>
  <si>
    <t>7" @ 11700'</t>
  </si>
  <si>
    <t>2-7\8" @ 11595'</t>
  </si>
  <si>
    <t>12569-70, 12598-99</t>
  </si>
  <si>
    <t>13480-13500</t>
  </si>
  <si>
    <t>464 BOPD</t>
  </si>
  <si>
    <t>TSTM</t>
  </si>
  <si>
    <t>11583-11590</t>
  </si>
  <si>
    <t>4734-5010, 3150-3642,0-2025</t>
  </si>
  <si>
    <t>0902110043</t>
  </si>
  <si>
    <t>OG_346</t>
  </si>
  <si>
    <t>SFU #28-1</t>
  </si>
  <si>
    <t>X-YCALIP GRN</t>
  </si>
  <si>
    <t>1S28 45S 29E</t>
  </si>
  <si>
    <t>26° 32' 24.59008" N</t>
  </si>
  <si>
    <t>81° 25' 23.90977" W</t>
  </si>
  <si>
    <t xml:space="preserve">1110'FNL&amp;1658'FEL </t>
  </si>
  <si>
    <t>20" @ 68'</t>
  </si>
  <si>
    <t>13-3\8" @ 1099'</t>
  </si>
  <si>
    <t>9-5/8"@ 3500'</t>
  </si>
  <si>
    <t>5-1\2" @ 11470'</t>
  </si>
  <si>
    <t>2-1\2" @ 7030'</t>
  </si>
  <si>
    <t>11458-11470</t>
  </si>
  <si>
    <t>4.24 MCFPD</t>
  </si>
  <si>
    <t>50 BWPD</t>
  </si>
  <si>
    <t>10700-11469,3160-3450,900-1990,0-200</t>
  </si>
  <si>
    <t>0905110029</t>
  </si>
  <si>
    <t>EPA ID# FLS 0510002</t>
  </si>
  <si>
    <t>OG_347</t>
  </si>
  <si>
    <t>GEORGE H JETT DRILLING CO</t>
  </si>
  <si>
    <t>BCC &amp; P C CRAPPS ETUX #1</t>
  </si>
  <si>
    <t>IEL BHCS GR</t>
  </si>
  <si>
    <t>3S30 7S 12E</t>
  </si>
  <si>
    <t>29° 50' 26.76988" N</t>
  </si>
  <si>
    <t>83° 9' 55.26072" W</t>
  </si>
  <si>
    <t>900'FSL&amp;1140'FWL</t>
  </si>
  <si>
    <t>13"@ 106'</t>
  </si>
  <si>
    <t>8-5/8"@ 1103'</t>
  </si>
  <si>
    <t>3485-5840</t>
  </si>
  <si>
    <t>1146-996,10-0</t>
  </si>
  <si>
    <t>0906710005</t>
  </si>
  <si>
    <t>OG_348</t>
  </si>
  <si>
    <t>COLLIER CO #4-2</t>
  </si>
  <si>
    <t>2S4 46S 29E</t>
  </si>
  <si>
    <t>26° 30' 44.70772" N</t>
  </si>
  <si>
    <t>81° 25' 50.21594" W</t>
  </si>
  <si>
    <t>1115FNL&amp;1460FWL</t>
  </si>
  <si>
    <t>20" @ 64'</t>
  </si>
  <si>
    <t>13-3\8" @ 1160'</t>
  </si>
  <si>
    <t>9-5\8" @ 3397'</t>
  </si>
  <si>
    <t>5-1\2" @ 11474'</t>
  </si>
  <si>
    <t>2-1\2" @ 5079'</t>
  </si>
  <si>
    <t>53.76 MCFPD</t>
  </si>
  <si>
    <t>10063-11492,3134-3347,1016-2055,500-900,0-200</t>
  </si>
  <si>
    <t>0902110044</t>
  </si>
  <si>
    <t>OG_349</t>
  </si>
  <si>
    <t>RED CATTLE #30-4</t>
  </si>
  <si>
    <t>4S30 45S 29E</t>
  </si>
  <si>
    <t>26° 31' 58.97327" N</t>
  </si>
  <si>
    <t>81° 27' 17.10245" W</t>
  </si>
  <si>
    <t xml:space="preserve">1422'FSL&amp;1189'FEL </t>
  </si>
  <si>
    <t>13-3\8" @ 1156'</t>
  </si>
  <si>
    <t>9-5\8" @ 3433'</t>
  </si>
  <si>
    <t>5-1\2" @ 11477'</t>
  </si>
  <si>
    <t>2-1\2" @ 5039'</t>
  </si>
  <si>
    <t>112 BOPD</t>
  </si>
  <si>
    <t>10.3 MCFPD</t>
  </si>
  <si>
    <t>254 BWPD</t>
  </si>
  <si>
    <t>9199-11484,3181-4842,953-1924,0-150</t>
  </si>
  <si>
    <t>0905110030</t>
  </si>
  <si>
    <t>OG_350</t>
  </si>
  <si>
    <t>CITRUS</t>
  </si>
  <si>
    <t>MOBIL OIL CORP</t>
  </si>
  <si>
    <t>DR R C GARBY #1</t>
  </si>
  <si>
    <t>IEL BHCS GL</t>
  </si>
  <si>
    <t>2S8 19S 17E</t>
  </si>
  <si>
    <t>28° 50' 44.15392" N</t>
  </si>
  <si>
    <t>82° 36' 31.98888" W</t>
  </si>
  <si>
    <t>660'FNL&amp;2532'FWL</t>
  </si>
  <si>
    <t>13-3/8"@ 83'</t>
  </si>
  <si>
    <t>8-5/8"@ 756'</t>
  </si>
  <si>
    <t>860-660,30-0</t>
  </si>
  <si>
    <t>0901710001</t>
  </si>
  <si>
    <t>OG_351</t>
  </si>
  <si>
    <t>RED CATTLE CO #32-3</t>
  </si>
  <si>
    <t>3S32 45S 29E</t>
  </si>
  <si>
    <t>26° 31' 8.34593" N</t>
  </si>
  <si>
    <t>81° 26' 42.92254" W</t>
  </si>
  <si>
    <t>1307'FSL&amp;1907'FWL</t>
  </si>
  <si>
    <t>20" @ 63'</t>
  </si>
  <si>
    <t>13-3\8" @ 1126'</t>
  </si>
  <si>
    <t>9-5\8" @ 3548'</t>
  </si>
  <si>
    <t>11300-11619,3342-3642,</t>
  </si>
  <si>
    <t>0905110031</t>
  </si>
  <si>
    <t>OG_352</t>
  </si>
  <si>
    <t>COLLIER CO #5-1</t>
  </si>
  <si>
    <t>PRODUCER/INJ</t>
  </si>
  <si>
    <t>GRN X-YCALIP</t>
  </si>
  <si>
    <t>1S5 46S 29E</t>
  </si>
  <si>
    <t>26° 30' 45.131" N</t>
  </si>
  <si>
    <t>81° 26' 17.57638" W</t>
  </si>
  <si>
    <t xml:space="preserve">1079'FNL&amp;1025'FEL </t>
  </si>
  <si>
    <t>13-3\8" @ 1140'</t>
  </si>
  <si>
    <t>9-5\8" @ 3537'</t>
  </si>
  <si>
    <t>5-1\2" @ 11485'</t>
  </si>
  <si>
    <t>2" @ 11356'</t>
  </si>
  <si>
    <t>215 BWPD</t>
  </si>
  <si>
    <t>11486-11490</t>
  </si>
  <si>
    <t xml:space="preserve">10508-11491,10450-10240, 3147-3467,550-1990,4-218 </t>
  </si>
  <si>
    <t>0902110045</t>
  </si>
  <si>
    <t>EPA ID# FLS 0210001</t>
  </si>
  <si>
    <t>OG_353</t>
  </si>
  <si>
    <t>HARBOND INC #1</t>
  </si>
  <si>
    <t>2S25 17S 16E</t>
  </si>
  <si>
    <t>28° 58' 26.61247" N</t>
  </si>
  <si>
    <t>82° 38' 42.7367" W</t>
  </si>
  <si>
    <t>1150'FNL&amp;2310'FWL</t>
  </si>
  <si>
    <t>13-3/8"@ 40'</t>
  </si>
  <si>
    <t>8-5/8"@ 728'</t>
  </si>
  <si>
    <t>828-552,30-0</t>
  </si>
  <si>
    <t>0901710002</t>
  </si>
  <si>
    <t>OG_354</t>
  </si>
  <si>
    <t>STOC ETAL</t>
  </si>
  <si>
    <t>W F LAWLESS #1</t>
  </si>
  <si>
    <t>JUNKED</t>
  </si>
  <si>
    <t>3S34 43S 28E</t>
  </si>
  <si>
    <t>26° 41' 36.29648" N</t>
  </si>
  <si>
    <t>81° 30' 41.60192" W</t>
  </si>
  <si>
    <t>2089'FSL&amp;1980'FWL</t>
  </si>
  <si>
    <t>13-3\8" @ 1220'</t>
  </si>
  <si>
    <t>170 sxs cement in 13 3/8 pipe</t>
  </si>
  <si>
    <t>0905110032</t>
  </si>
  <si>
    <t>OG_355</t>
  </si>
  <si>
    <t>RED CATTLE CO #30-3</t>
  </si>
  <si>
    <t>IEL SONIC GRN</t>
  </si>
  <si>
    <t>3S30 45S 29E</t>
  </si>
  <si>
    <t>26° 31' 57.25495" N</t>
  </si>
  <si>
    <t>81° 27' 42.50563" W</t>
  </si>
  <si>
    <t>1320'FSL&amp;1500'FWL</t>
  </si>
  <si>
    <t>13-3\8" @ 1144'</t>
  </si>
  <si>
    <t>9-5\8" @ 3525'</t>
  </si>
  <si>
    <t>5-1\2" @ 11600'</t>
  </si>
  <si>
    <t>2-1\2" @ 11492'</t>
  </si>
  <si>
    <t>11490-11498</t>
  </si>
  <si>
    <t>11500-11530</t>
  </si>
  <si>
    <t>11019-11530,3226-3475,923-2006,460-850,0-200</t>
  </si>
  <si>
    <t>0905110033</t>
  </si>
  <si>
    <t>Converted to inj well 8/7/1966</t>
  </si>
  <si>
    <t>OG_356</t>
  </si>
  <si>
    <t>RED CATTLE #30-2</t>
  </si>
  <si>
    <t>2S30 45S 29E</t>
  </si>
  <si>
    <t>26° 32' 23.21988" N</t>
  </si>
  <si>
    <t>81° 27' 43.17167" W</t>
  </si>
  <si>
    <t>1160'FNL&amp;1500'FWL</t>
  </si>
  <si>
    <t>0905110034</t>
  </si>
  <si>
    <t>OG_357</t>
  </si>
  <si>
    <t>COLLIER CO #4-3</t>
  </si>
  <si>
    <t>3S4 46S 29E</t>
  </si>
  <si>
    <t>26° 30' 20.60302" N</t>
  </si>
  <si>
    <t>81° 25' 55.0056" W</t>
  </si>
  <si>
    <t>2025'FSL&amp;1000'FWL</t>
  </si>
  <si>
    <t>20" @ 51'</t>
  </si>
  <si>
    <t>13-3\8" @ 966'</t>
  </si>
  <si>
    <t>9-5\8" @ 3516'</t>
  </si>
  <si>
    <t>11300-11630,3316-3636,845-1045,0-???</t>
  </si>
  <si>
    <t>0902110046</t>
  </si>
  <si>
    <t>OG_358</t>
  </si>
  <si>
    <t>CAMP PHOSPHATE CO #1</t>
  </si>
  <si>
    <t>3S12 17S 18E</t>
  </si>
  <si>
    <t>29° 0' 42.45275" N</t>
  </si>
  <si>
    <t>82° 26' 50.65588" W</t>
  </si>
  <si>
    <t xml:space="preserve">955'FSL&amp;1420'FWL </t>
  </si>
  <si>
    <t>13-3/8"@76'</t>
  </si>
  <si>
    <t>8-5/8"@ 738'</t>
  </si>
  <si>
    <t>4375-4422</t>
  </si>
  <si>
    <t>1364-1264,835-635,0-20</t>
  </si>
  <si>
    <t>0901710003</t>
  </si>
  <si>
    <t>OG_359</t>
  </si>
  <si>
    <t>CFC #15-3</t>
  </si>
  <si>
    <t>3S15 45S 29E</t>
  </si>
  <si>
    <t>26° 33' 49.08133" N</t>
  </si>
  <si>
    <t>81° 24' 57.32997" W</t>
  </si>
  <si>
    <t>1307'FSL&amp;1329'FWL</t>
  </si>
  <si>
    <t>13-3\8" @ 1158'</t>
  </si>
  <si>
    <t>9-5\8" @ 3059'</t>
  </si>
  <si>
    <t>11200-11525,2859-3159,850-1188,0-???</t>
  </si>
  <si>
    <t>0905110035</t>
  </si>
  <si>
    <t>OG_360</t>
  </si>
  <si>
    <t>SFU #34-2</t>
  </si>
  <si>
    <t>2S34 45S 29E</t>
  </si>
  <si>
    <t>26° 31' 32.31152" N</t>
  </si>
  <si>
    <t>81° 24' 59.66744" W</t>
  </si>
  <si>
    <t xml:space="preserve">1410'FNL&amp;668'FWL </t>
  </si>
  <si>
    <t>13-3\8" @ 1142'</t>
  </si>
  <si>
    <t>9-5\8" @ 3521'</t>
  </si>
  <si>
    <t>11487-11501</t>
  </si>
  <si>
    <t>11050-11640,3321-3621,1042-1242,0-10</t>
  </si>
  <si>
    <t>0905110036</t>
  </si>
  <si>
    <t>OG_361</t>
  </si>
  <si>
    <t>ALDC #1</t>
  </si>
  <si>
    <t>4S8 46S 30E</t>
  </si>
  <si>
    <t>26° 29' 15.30125" N</t>
  </si>
  <si>
    <t>81° 20' 36.80596" W</t>
  </si>
  <si>
    <t>698'FSL&amp;2016'FEL</t>
  </si>
  <si>
    <t>20" @ 62'</t>
  </si>
  <si>
    <t>9-5\8" @ 3540'</t>
  </si>
  <si>
    <t>11360-11660,3340-3640,1050-1250,0-???</t>
  </si>
  <si>
    <t>0902110047</t>
  </si>
  <si>
    <t>OG_362</t>
  </si>
  <si>
    <t>LAWLESS BERRY &amp; PAUL #2</t>
  </si>
  <si>
    <t>4S34 43S 28E</t>
  </si>
  <si>
    <t>26° 41' 35.73697" N</t>
  </si>
  <si>
    <t>81° 30' 27.76986" W</t>
  </si>
  <si>
    <t xml:space="preserve">1947'FSL&amp;2017'FEL </t>
  </si>
  <si>
    <t>20" @ 241'</t>
  </si>
  <si>
    <t>13-3/8"@ 1510'</t>
  </si>
  <si>
    <t>9-5/8"@ 3361</t>
  </si>
  <si>
    <t>11339-11348</t>
  </si>
  <si>
    <t>11048-11348,3210-3410,0-???</t>
  </si>
  <si>
    <t>0905110037</t>
  </si>
  <si>
    <t>OG_363</t>
  </si>
  <si>
    <t>LTCLC #24-4</t>
  </si>
  <si>
    <t>4S24 45S 28E</t>
  </si>
  <si>
    <t>26° 32' 47.01476" N</t>
  </si>
  <si>
    <t>81° 28' 14.16457" W</t>
  </si>
  <si>
    <t xml:space="preserve">1349'FSL&amp;1280'FEL </t>
  </si>
  <si>
    <t>20" @ 61'</t>
  </si>
  <si>
    <t>13-3\8" @ 1123'</t>
  </si>
  <si>
    <t>9-5\8" @ 3519'</t>
  </si>
  <si>
    <t>5-1\2" @ 11545'</t>
  </si>
  <si>
    <t>2-1\2" @ 7028'</t>
  </si>
  <si>
    <t>11467-11525</t>
  </si>
  <si>
    <t>28 BOPD</t>
  </si>
  <si>
    <t>1.9 MCFPD</t>
  </si>
  <si>
    <t>208 BWPD</t>
  </si>
  <si>
    <t>11476-11478</t>
  </si>
  <si>
    <t>11268-11478,9400-9600,3390-3490,900-1000,0-20</t>
  </si>
  <si>
    <t>0905110038</t>
  </si>
  <si>
    <t>OG_364</t>
  </si>
  <si>
    <t>HARRISS-HOLMES #1</t>
  </si>
  <si>
    <t>2S8 33S 34E</t>
  </si>
  <si>
    <t>27° 37' 21.42768" N</t>
  </si>
  <si>
    <t>80° 57' 15.58634" W</t>
  </si>
  <si>
    <t>1957'FNL&amp;663'FWL</t>
  </si>
  <si>
    <t>20" @ 84'</t>
  </si>
  <si>
    <t>13-3/8"@ 707'</t>
  </si>
  <si>
    <t>9-5/8"@ 3307</t>
  </si>
  <si>
    <t>6793-6493,3407-3107,1380-1385,1052-950,807-607,10-0</t>
  </si>
  <si>
    <t>0909310002</t>
  </si>
  <si>
    <t>OG_365</t>
  </si>
  <si>
    <t>GULF AMERICAN LAND CORP</t>
  </si>
  <si>
    <t>EAST GATE LAND INC #1</t>
  </si>
  <si>
    <t>4S16 48S 28E</t>
  </si>
  <si>
    <t>26° 17' 43.68689" N</t>
  </si>
  <si>
    <t>81° 30' 52.34728" W</t>
  </si>
  <si>
    <t xml:space="preserve">678'FSL&amp;465'FEL </t>
  </si>
  <si>
    <t>20" @ 193'</t>
  </si>
  <si>
    <t>13-3\8" @ 1410'</t>
  </si>
  <si>
    <t>9-5\8" @ 3800'</t>
  </si>
  <si>
    <t>11700-12000,3600-3900,1200-1500,0-20</t>
  </si>
  <si>
    <t>0902110048</t>
  </si>
  <si>
    <t>hole p&amp;a'd 3/66 reentered,redrilled and p&amp;a'd 5/66</t>
  </si>
  <si>
    <t>OG_366</t>
  </si>
  <si>
    <t>SFU #17-3</t>
  </si>
  <si>
    <t>DIL SL</t>
  </si>
  <si>
    <t>3S17 45S 29E</t>
  </si>
  <si>
    <t>26° 33' 46.69121" N</t>
  </si>
  <si>
    <t>81° 26' 59.62704" W</t>
  </si>
  <si>
    <t>1328'FSL&amp;813'FWL</t>
  </si>
  <si>
    <t>20" @ 65'</t>
  </si>
  <si>
    <t>9-5\8" @ 3515'</t>
  </si>
  <si>
    <t>11246-11546,3315-3615,900-1200,0-???</t>
  </si>
  <si>
    <t>0905110039</t>
  </si>
  <si>
    <t>OG_367</t>
  </si>
  <si>
    <t>ALDC #A-1</t>
  </si>
  <si>
    <t>3S27 45S 31E</t>
  </si>
  <si>
    <t>26° 32' 5.40119" N</t>
  </si>
  <si>
    <t>81° 13' 21.13755" W</t>
  </si>
  <si>
    <t>940'FSL&amp;660'FWL</t>
  </si>
  <si>
    <t>13-3\8" @ 1147'</t>
  </si>
  <si>
    <t>9-5\8" @ 3503'</t>
  </si>
  <si>
    <t>11386-11493</t>
  </si>
  <si>
    <t>11275-11575,3303-3603,1029-1229,0-???</t>
  </si>
  <si>
    <t>0905110040</t>
  </si>
  <si>
    <t>OG_368</t>
  </si>
  <si>
    <t>GOLDEN GATE #1</t>
  </si>
  <si>
    <t>1S28 48S 28E</t>
  </si>
  <si>
    <t>26° 16' 23.76325" N</t>
  </si>
  <si>
    <t>81° 30' 54.95566" W</t>
  </si>
  <si>
    <t xml:space="preserve">2067'FNL&amp;665'FEL </t>
  </si>
  <si>
    <t>20" @ 191'</t>
  </si>
  <si>
    <t>13-3\8" @ 1534'</t>
  </si>
  <si>
    <t>9285-9956</t>
  </si>
  <si>
    <t>3600-3900</t>
  </si>
  <si>
    <t>0902110049</t>
  </si>
  <si>
    <t>OG_369</t>
  </si>
  <si>
    <t>RED CATTLE CO #A 25-1</t>
  </si>
  <si>
    <t>26° 32' 20.65387" N</t>
  </si>
  <si>
    <t>81° 28' 14.07342" W</t>
  </si>
  <si>
    <t xml:space="preserve">1326 FNL&amp;1276 FEL </t>
  </si>
  <si>
    <t>13-3\8" @ 1154'</t>
  </si>
  <si>
    <t>9-5\8" @ 3547'</t>
  </si>
  <si>
    <t>5-1\2" @ 11486'</t>
  </si>
  <si>
    <t>2-1\2" @ 5522'</t>
  </si>
  <si>
    <t>11486-11491</t>
  </si>
  <si>
    <t>54 BOPD</t>
  </si>
  <si>
    <t>4 MCF</t>
  </si>
  <si>
    <t>425 BWPD</t>
  </si>
  <si>
    <t>11487-11490</t>
  </si>
  <si>
    <t>11291-11491,10076-10276,3446-3646,972-1000,</t>
  </si>
  <si>
    <t>0905110041</t>
  </si>
  <si>
    <t>OG_370</t>
  </si>
  <si>
    <t>TEXACO INC &amp; LL&amp;EC</t>
  </si>
  <si>
    <t>TRMMCI #32-3</t>
  </si>
  <si>
    <t>DIL BHCS SNP CDN</t>
  </si>
  <si>
    <t>3S32 5N 28W</t>
  </si>
  <si>
    <t>30° 53' 55.35269" N</t>
  </si>
  <si>
    <t>87° 4' 11.19716" W</t>
  </si>
  <si>
    <t>1980'FSL&amp;990'FWL</t>
  </si>
  <si>
    <t>16"@ 60</t>
  </si>
  <si>
    <t>10-3/4"@ 2500</t>
  </si>
  <si>
    <t>15274-15835,2286-2729,0-30</t>
  </si>
  <si>
    <t>0911310039</t>
  </si>
  <si>
    <t>7867&amp;10623</t>
  </si>
  <si>
    <t>Texaco drilled &amp; plugged this well in 1966.LL&amp;EC rentered this hole in 1970</t>
  </si>
  <si>
    <t>OG_371</t>
  </si>
  <si>
    <t>WEST FELDA</t>
  </si>
  <si>
    <t>RED CATTLE #B-1 #21-3</t>
  </si>
  <si>
    <t>3S21 45S 28E</t>
  </si>
  <si>
    <t>26° 32' 40.68884" N</t>
  </si>
  <si>
    <t>81° 31' 44.23166" W</t>
  </si>
  <si>
    <t xml:space="preserve">662'FSL&amp;665'FWL </t>
  </si>
  <si>
    <t>13-3\8" @ 1145'</t>
  </si>
  <si>
    <t>9-5\8" @ 3520'</t>
  </si>
  <si>
    <t>5-1\2" @ 11675'</t>
  </si>
  <si>
    <t>2-1\2" @ 7041'</t>
  </si>
  <si>
    <t>11464-568</t>
  </si>
  <si>
    <t>11479-11486</t>
  </si>
  <si>
    <t>56 BOPD</t>
  </si>
  <si>
    <t>5.04 MCF</t>
  </si>
  <si>
    <t>148 BWPD</t>
  </si>
  <si>
    <t>11468-11489</t>
  </si>
  <si>
    <t>2140-2150,0-1894</t>
  </si>
  <si>
    <t>0905110042</t>
  </si>
  <si>
    <t>West Felda Field discovery well FLS0510001</t>
  </si>
  <si>
    <t>OG_372</t>
  </si>
  <si>
    <t>ALDC B #12-2</t>
  </si>
  <si>
    <t>2S12 46S 29E</t>
  </si>
  <si>
    <t>26° 29' 49.36998" N</t>
  </si>
  <si>
    <t>81° 22' 56.54382" W</t>
  </si>
  <si>
    <t>1362'FNL&amp;1330'FWL</t>
  </si>
  <si>
    <t>13-3/8"@ 1102'</t>
  </si>
  <si>
    <t>1006-1206,0-10</t>
  </si>
  <si>
    <t>0902110050</t>
  </si>
  <si>
    <t>OG_373</t>
  </si>
  <si>
    <t>BABCOCK RANCH #A-1</t>
  </si>
  <si>
    <t>IEL SL CDN</t>
  </si>
  <si>
    <t>2S9 42S 27E</t>
  </si>
  <si>
    <t>26° 50' 26.21003" N</t>
  </si>
  <si>
    <t>81° 37' 43.37444" W</t>
  </si>
  <si>
    <t>13-3/8"@ 1185'</t>
  </si>
  <si>
    <t>9-5/8"@ 3711'</t>
  </si>
  <si>
    <t>11185-11213</t>
  </si>
  <si>
    <t>11324-11124,3811-3611,1775-1556,1235-1115,110-92,0-25</t>
  </si>
  <si>
    <t>0901510005</t>
  </si>
  <si>
    <t>OG_374</t>
  </si>
  <si>
    <t>SHERMAN A HILL #1</t>
  </si>
  <si>
    <t>3S32 22S 21E</t>
  </si>
  <si>
    <t>28° 32' 10.52455" N</t>
  </si>
  <si>
    <t>82° 13' 18.69632" W</t>
  </si>
  <si>
    <t>529'FNL&amp;551'FEL</t>
  </si>
  <si>
    <t>18"@ 70</t>
  </si>
  <si>
    <t>16"@ 202</t>
  </si>
  <si>
    <t>665-545</t>
  </si>
  <si>
    <t>0905310002</t>
  </si>
  <si>
    <t>Junked hole converted to water well for property owner</t>
  </si>
  <si>
    <t>OG_375</t>
  </si>
  <si>
    <t>STATE OF FLA LEASE 224-B #1</t>
  </si>
  <si>
    <t>IEL BHCS CDN</t>
  </si>
  <si>
    <t>26° 50' 19.16034" N</t>
  </si>
  <si>
    <t>82° 24' 17.42792" W</t>
  </si>
  <si>
    <t>33"@ 153'</t>
  </si>
  <si>
    <t>2O"@ 303'</t>
  </si>
  <si>
    <t>13-3/8"@ 1387'</t>
  </si>
  <si>
    <t>10-3/4"@ 3971'</t>
  </si>
  <si>
    <t>10930-11016</t>
  </si>
  <si>
    <t>12100-11800,11100-10800,4077-3877,200-100</t>
  </si>
  <si>
    <t>0921510014</t>
  </si>
  <si>
    <t>OG_376</t>
  </si>
  <si>
    <t>R K PETROLEUM CORP</t>
  </si>
  <si>
    <t>STATE LEASE NO 1939-1939-S #1</t>
  </si>
  <si>
    <t>3S18 54S 36E</t>
  </si>
  <si>
    <t>25° 45' 52.12336" N</t>
  </si>
  <si>
    <t>80° 46' 22.22839" W</t>
  </si>
  <si>
    <t xml:space="preserve">479'FSL&amp;1792'FWL </t>
  </si>
  <si>
    <t>13-3/8"@ 1083'</t>
  </si>
  <si>
    <t>9-5/8"@ 3838'</t>
  </si>
  <si>
    <t>11322-11392</t>
  </si>
  <si>
    <t>11480-11510</t>
  </si>
  <si>
    <t>11510-11310,3938-3738,30-0</t>
  </si>
  <si>
    <t>0902520001</t>
  </si>
  <si>
    <t>OG_377</t>
  </si>
  <si>
    <t>MARSHALL R YOUNG OIL CO</t>
  </si>
  <si>
    <t>R LEON THOMAS ETAL #1</t>
  </si>
  <si>
    <t>30° 56' 40.90542" N</t>
  </si>
  <si>
    <t>87° 8' 45.96061" W</t>
  </si>
  <si>
    <t>330'FNL&amp;2310'FEL</t>
  </si>
  <si>
    <t>8-5/8"@1001</t>
  </si>
  <si>
    <t>1600-1800,900-1100,0-???(25 sxs cement)</t>
  </si>
  <si>
    <t>0911320001</t>
  </si>
  <si>
    <t>OG_378</t>
  </si>
  <si>
    <t>S A HILL #1</t>
  </si>
  <si>
    <t>IEL GR</t>
  </si>
  <si>
    <t>28° 31' 36.97154" N</t>
  </si>
  <si>
    <t>82° 13' 56.34937" W</t>
  </si>
  <si>
    <t>1983'FSL&amp;1982'FWL</t>
  </si>
  <si>
    <t>8-5/8"@1250</t>
  </si>
  <si>
    <t>7"@ 3150</t>
  </si>
  <si>
    <t>3357-3015</t>
  </si>
  <si>
    <t>0905320001</t>
  </si>
  <si>
    <t>Property owner kept this as water well</t>
  </si>
  <si>
    <t>OG_379</t>
  </si>
  <si>
    <t>MCCULLOCH OIL CORP</t>
  </si>
  <si>
    <t>CDC #1</t>
  </si>
  <si>
    <t>4S20 46S 29E</t>
  </si>
  <si>
    <t>26° 27' 26.33165" N</t>
  </si>
  <si>
    <t>81° 26' 10.15091" W</t>
  </si>
  <si>
    <t xml:space="preserve">678'FSL&amp;665'FEL </t>
  </si>
  <si>
    <t>20" @ 85'</t>
  </si>
  <si>
    <t>13-3/8"@ 1326'</t>
  </si>
  <si>
    <t>9-5/8"@ 3600'</t>
  </si>
  <si>
    <t>11572-11602</t>
  </si>
  <si>
    <t>11594-602,11719-810</t>
  </si>
  <si>
    <t>11500-11600,3500-3700,0-30</t>
  </si>
  <si>
    <t>0902120001</t>
  </si>
  <si>
    <t>OG_380</t>
  </si>
  <si>
    <t>PRICE-IMPROVEMENT FUND #1</t>
  </si>
  <si>
    <t>3S35 48S 30E</t>
  </si>
  <si>
    <t>26° 15' 26.29251" N</t>
  </si>
  <si>
    <t>81° 17' 49.17943" W</t>
  </si>
  <si>
    <t xml:space="preserve">1717'FSL&amp;1320'FWL </t>
  </si>
  <si>
    <t>30" @ 201'</t>
  </si>
  <si>
    <t>20" @ 1369'</t>
  </si>
  <si>
    <t>13-3/8"@ 4004'</t>
  </si>
  <si>
    <t>5-1\2" @ 12305'</t>
  </si>
  <si>
    <t>11449-12873</t>
  </si>
  <si>
    <t>11578-11636</t>
  </si>
  <si>
    <t>11584-11591</t>
  </si>
  <si>
    <t>11462-???,0-30</t>
  </si>
  <si>
    <t>0902120002</t>
  </si>
  <si>
    <t>OG_381</t>
  </si>
  <si>
    <t>CHAMBERS &amp; KENNEDY &amp; R E HIBBERT</t>
  </si>
  <si>
    <t>ANCHOR INVESTMENT CORP #1</t>
  </si>
  <si>
    <t>2S20 49S 31E</t>
  </si>
  <si>
    <t>26° 12' 20.53702" N</t>
  </si>
  <si>
    <t>81° 14' 53.62577" W</t>
  </si>
  <si>
    <t xml:space="preserve">1486'FNL&amp;1315'FWL </t>
  </si>
  <si>
    <t>13-3/8"@ 1365'</t>
  </si>
  <si>
    <t>9-5/8"@ 3961</t>
  </si>
  <si>
    <t>11530-11627</t>
  </si>
  <si>
    <t>11550-11650,3911-4011,1315-1515</t>
  </si>
  <si>
    <t>0902120003</t>
  </si>
  <si>
    <t>OG_382</t>
  </si>
  <si>
    <t>FLORIDA STATE 224-A #1-A</t>
  </si>
  <si>
    <t>IEL BHCS SNP</t>
  </si>
  <si>
    <t>28° 50' 0.90222" N</t>
  </si>
  <si>
    <t>82° 49' 41.45588" W</t>
  </si>
  <si>
    <t>13-3/8"@ 112</t>
  </si>
  <si>
    <t>9-5/8"@ 1198</t>
  </si>
  <si>
    <t>6038-6060</t>
  </si>
  <si>
    <t>5527-5572</t>
  </si>
  <si>
    <t>1216-1083,193-60</t>
  </si>
  <si>
    <t>0921720001</t>
  </si>
  <si>
    <t>OG_383</t>
  </si>
  <si>
    <t>FLORIDA STATE 224-A #1-B</t>
  </si>
  <si>
    <t>29° 5' 24.8708" N</t>
  </si>
  <si>
    <t>82° 55' 15.46298" W</t>
  </si>
  <si>
    <t>13-3/8"@ 145'</t>
  </si>
  <si>
    <t>9-5/8"@ 1185'</t>
  </si>
  <si>
    <t>4721-4735</t>
  </si>
  <si>
    <t>1156-1019,150-40</t>
  </si>
  <si>
    <t>0927520002</t>
  </si>
  <si>
    <t>OG_384</t>
  </si>
  <si>
    <t>GCRC #25</t>
  </si>
  <si>
    <t>26° 17' 35.74344" N</t>
  </si>
  <si>
    <t>81° 21' 13.69875" W</t>
  </si>
  <si>
    <t xml:space="preserve">990'FNL&amp;990'FEL </t>
  </si>
  <si>
    <t>20" @ 233'</t>
  </si>
  <si>
    <t>13-3/8"@ 1394'</t>
  </si>
  <si>
    <t>9-5/8"@ 3714'</t>
  </si>
  <si>
    <t>5-1\2" @ 11700'</t>
  </si>
  <si>
    <t>67 BOPD</t>
  </si>
  <si>
    <t>371 BWPD</t>
  </si>
  <si>
    <t>11567-11591</t>
  </si>
  <si>
    <t>11075-11575,3454-3896,0-1916</t>
  </si>
  <si>
    <t>0902120004</t>
  </si>
  <si>
    <t>OG_385</t>
  </si>
  <si>
    <t>CONN SUGAR CORP #1</t>
  </si>
  <si>
    <t>1S21 43S 39E</t>
  </si>
  <si>
    <t>26° 43' 22.84442" N</t>
  </si>
  <si>
    <t>80° 26' 51.51512" W</t>
  </si>
  <si>
    <t xml:space="preserve">660'FNL&amp;2100'FEL </t>
  </si>
  <si>
    <t>20" @ 150'</t>
  </si>
  <si>
    <t>9-5/8" @ 4015'</t>
  </si>
  <si>
    <t>76200-7660</t>
  </si>
  <si>
    <t>7660-7734</t>
  </si>
  <si>
    <t>7625-7456,4115-3915,1209-1014,50-0</t>
  </si>
  <si>
    <t>0909920004</t>
  </si>
  <si>
    <t>OG_386</t>
  </si>
  <si>
    <t>STATE LEASE NO 1939-1939-S #2</t>
  </si>
  <si>
    <t>4S21 54S 35E</t>
  </si>
  <si>
    <t>25° 45' 46.44177" N</t>
  </si>
  <si>
    <t>80° 50' 33.11531" W</t>
  </si>
  <si>
    <t xml:space="preserve">460'FSL&amp;660'FEL </t>
  </si>
  <si>
    <t>13-3/8"@ 1054'</t>
  </si>
  <si>
    <t>9-5/8"@ 3759'</t>
  </si>
  <si>
    <t>11351-11390</t>
  </si>
  <si>
    <t>11346-11603</t>
  </si>
  <si>
    <t>11562-11300,3858-3658,30-0</t>
  </si>
  <si>
    <t>0902520002</t>
  </si>
  <si>
    <t>OG_387</t>
  </si>
  <si>
    <t>FLORIDA STATE 224-A #1-C</t>
  </si>
  <si>
    <t>29° 37' 54.81188" N</t>
  </si>
  <si>
    <t>85° 0' 5.65117" W</t>
  </si>
  <si>
    <t>24"@ 130'</t>
  </si>
  <si>
    <t>16"@ 403'</t>
  </si>
  <si>
    <t>10-3/4"@ 4807'</t>
  </si>
  <si>
    <t>14263-14277</t>
  </si>
  <si>
    <t>4780-???,685-705,80-130, 63-95</t>
  </si>
  <si>
    <t>0923720003</t>
  </si>
  <si>
    <t>Offshore of St. George Island</t>
  </si>
  <si>
    <t>OG_388</t>
  </si>
  <si>
    <t>LCC #26-1</t>
  </si>
  <si>
    <t>1S26 45S 28E</t>
  </si>
  <si>
    <t>26° 32' 17.5438" N</t>
  </si>
  <si>
    <t>81° 29' 14.34592" W</t>
  </si>
  <si>
    <t xml:space="preserve">1331'FNL&amp;1325'FEL </t>
  </si>
  <si>
    <t>20" @ 108'</t>
  </si>
  <si>
    <t>9-5/8"@ 3555'</t>
  </si>
  <si>
    <t>11461-11548</t>
  </si>
  <si>
    <t>11481-11491</t>
  </si>
  <si>
    <t>11249-11549,3455-3655,1047-1247,0-??</t>
  </si>
  <si>
    <t>0905120001</t>
  </si>
  <si>
    <t>OG_389</t>
  </si>
  <si>
    <t>LCC #28-1</t>
  </si>
  <si>
    <t>1S28 45S 28E</t>
  </si>
  <si>
    <t>26° 32' 21.64614" N</t>
  </si>
  <si>
    <t>81° 31' 5.02839" W</t>
  </si>
  <si>
    <t>1331'FNL&amp;1129' FEL</t>
  </si>
  <si>
    <t>20" @ 94'</t>
  </si>
  <si>
    <t>13-3\8" @ 1157'</t>
  </si>
  <si>
    <t>9-5\8" @ 3539'</t>
  </si>
  <si>
    <t>5-1\2" @ 11509'</t>
  </si>
  <si>
    <t>2-7\8" @ 6998'</t>
  </si>
  <si>
    <t>11455-11503.5'</t>
  </si>
  <si>
    <t>11470-11479</t>
  </si>
  <si>
    <t>105 BOPD</t>
  </si>
  <si>
    <t>7.35 MCF</t>
  </si>
  <si>
    <t>88 BWPD</t>
  </si>
  <si>
    <t>11486-11489</t>
  </si>
  <si>
    <t>11498-10900, 3286-3491, 1000-2080, 465-900,0-210</t>
  </si>
  <si>
    <t>0905120002</t>
  </si>
  <si>
    <t>OG_390</t>
  </si>
  <si>
    <t>RICHARD C BRADLEY</t>
  </si>
  <si>
    <t>BRUNSWICK PULP &amp; PAPER CO #1</t>
  </si>
  <si>
    <t>DIL BHCS</t>
  </si>
  <si>
    <t>1S18 6S 17E</t>
  </si>
  <si>
    <t>29° 58' 5.1978" N</t>
  </si>
  <si>
    <t>82° 38' 56.93147" W</t>
  </si>
  <si>
    <t>13-3/8"@ 151'</t>
  </si>
  <si>
    <t>8-5/8"@ 1410'</t>
  </si>
  <si>
    <t>2810-3088</t>
  </si>
  <si>
    <t>2868-3097</t>
  </si>
  <si>
    <t>1510-1293, 20-0</t>
  </si>
  <si>
    <t>0902320001</t>
  </si>
  <si>
    <t>OG_391</t>
  </si>
  <si>
    <t>SAM F DAVIS TRUSTEE #1</t>
  </si>
  <si>
    <t>4S11 23S 20E</t>
  </si>
  <si>
    <t>28° 29' 54.37432" N</t>
  </si>
  <si>
    <t>82° 16' 32.32376" W</t>
  </si>
  <si>
    <t>1835'FSL&amp;1849'FEL</t>
  </si>
  <si>
    <t>16"@ 122</t>
  </si>
  <si>
    <t>10-3/4"@ 867</t>
  </si>
  <si>
    <t>7-7/8"@ 3199</t>
  </si>
  <si>
    <t>3500-2926</t>
  </si>
  <si>
    <t>0905320002</t>
  </si>
  <si>
    <t>OG_392</t>
  </si>
  <si>
    <t>CAREY N HAGAN #1</t>
  </si>
  <si>
    <t>4S7 7S 17E</t>
  </si>
  <si>
    <t>29° 53' 31.95229" N</t>
  </si>
  <si>
    <t>82° 38' 55.65995" W</t>
  </si>
  <si>
    <t>1972'FSL&amp;1969'FEL</t>
  </si>
  <si>
    <t>0902320002</t>
  </si>
  <si>
    <t>OG_393</t>
  </si>
  <si>
    <t>ALICO-STATE OIL UNIT #1</t>
  </si>
  <si>
    <t>2S5 46S 30E</t>
  </si>
  <si>
    <t>26° 30' 44.8465" N</t>
  </si>
  <si>
    <t>81° 20' 59.45114" W</t>
  </si>
  <si>
    <t xml:space="preserve">1397'FNL&amp;1343'FWL </t>
  </si>
  <si>
    <t>13-3/8"@ 1139'</t>
  </si>
  <si>
    <t>9-5/8"@ 3546'</t>
  </si>
  <si>
    <t>11460-11566</t>
  </si>
  <si>
    <t>11267-11567,3446-3646,1034-1234, 0-???</t>
  </si>
  <si>
    <t>0902120005</t>
  </si>
  <si>
    <t>OG_394</t>
  </si>
  <si>
    <t>RED CATTLE CO B #21-4</t>
  </si>
  <si>
    <t>4S21 45S 28E</t>
  </si>
  <si>
    <t>26° 32' 48.877" N</t>
  </si>
  <si>
    <t>81° 31' 5.89592" W</t>
  </si>
  <si>
    <t>1470'FSL&amp;1188'FEL</t>
  </si>
  <si>
    <t>9-5\8" @ 3416'</t>
  </si>
  <si>
    <t>5-1\2" @ 11488'</t>
  </si>
  <si>
    <t>2-1\2" @ 11486'</t>
  </si>
  <si>
    <t>11456-11488</t>
  </si>
  <si>
    <t>82 BOPD</t>
  </si>
  <si>
    <t>7 MCF</t>
  </si>
  <si>
    <t>161 BWPD</t>
  </si>
  <si>
    <t>11479-11483</t>
  </si>
  <si>
    <t>11461-11493,11398-10680, 3366-3195, 1450-1951,474-1200, 0-200</t>
  </si>
  <si>
    <t>0905120003</t>
  </si>
  <si>
    <t>OG_395</t>
  </si>
  <si>
    <t>MR STEVE ANDRIS</t>
  </si>
  <si>
    <t>ANDRIS #1</t>
  </si>
  <si>
    <t>3S17 1N 5E</t>
  </si>
  <si>
    <t>30° 28' 51.08538" N</t>
  </si>
  <si>
    <t>83° 51' 13.82411" W</t>
  </si>
  <si>
    <t>775'FSL&amp;560'FWL</t>
  </si>
  <si>
    <t>0906500001</t>
  </si>
  <si>
    <t>Rentry of W-19 Pre-Permit Well</t>
  </si>
  <si>
    <t>OG_396</t>
  </si>
  <si>
    <t>M F KIRBY ETAL</t>
  </si>
  <si>
    <t>FINDLEY-ARD #1</t>
  </si>
  <si>
    <t>DIL</t>
  </si>
  <si>
    <t>3S12 5N 29W</t>
  </si>
  <si>
    <t>30° 57' 15.8239" N</t>
  </si>
  <si>
    <t>87° 7' 56.6367" W</t>
  </si>
  <si>
    <t>8 5/8"@ 690</t>
  </si>
  <si>
    <t>2400-2500, 560-760, 0-25</t>
  </si>
  <si>
    <t>0911320002</t>
  </si>
  <si>
    <t>OG_397</t>
  </si>
  <si>
    <t>RED CATTLE CO B #21-2</t>
  </si>
  <si>
    <t>2S21 45S 28E</t>
  </si>
  <si>
    <t>26° 33' 14.36798" N</t>
  </si>
  <si>
    <t>81° 31' 38.38811" W</t>
  </si>
  <si>
    <t xml:space="preserve">1218'FNL&amp;1219'FWL </t>
  </si>
  <si>
    <t>13-3/8"@ 1169'</t>
  </si>
  <si>
    <t>9-5/8"@ 3550'</t>
  </si>
  <si>
    <t>11464-11578</t>
  </si>
  <si>
    <t>11282-11582,3450-3650,1069-1269,0-??</t>
  </si>
  <si>
    <t>0905120004</t>
  </si>
  <si>
    <t>OG_398</t>
  </si>
  <si>
    <t>LCC A #28-3</t>
  </si>
  <si>
    <t>3S28 45S 28E</t>
  </si>
  <si>
    <t>26° 31' 53.67789" N</t>
  </si>
  <si>
    <t>81° 31' 38.13373" W</t>
  </si>
  <si>
    <t xml:space="preserve">1188'FSL&amp;1184'FWL </t>
  </si>
  <si>
    <t>20" @ 217'</t>
  </si>
  <si>
    <t>13-3/8"@ 1132'</t>
  </si>
  <si>
    <t>9-5/8"@ 3560'</t>
  </si>
  <si>
    <t>5-1/2"@ 11675'</t>
  </si>
  <si>
    <t>2-7/8"@ 7018'</t>
  </si>
  <si>
    <t>11450-11509</t>
  </si>
  <si>
    <t>296 BPD</t>
  </si>
  <si>
    <t>44MCFPD</t>
  </si>
  <si>
    <t>14 MCF</t>
  </si>
  <si>
    <t>11456-11466</t>
  </si>
  <si>
    <t>11306-11506,8511-8773</t>
  </si>
  <si>
    <t>0905120005</t>
  </si>
  <si>
    <t>398A</t>
  </si>
  <si>
    <t>LEE CYPRESS A #28-3A</t>
  </si>
  <si>
    <t>IEL BHCS CNLDN</t>
  </si>
  <si>
    <t>791FSL &amp;701'FWL</t>
  </si>
  <si>
    <t>20"@ 217'</t>
  </si>
  <si>
    <t>5-1/2"@ 11660'</t>
  </si>
  <si>
    <t>2-7/8"@ 5823'</t>
  </si>
  <si>
    <t>52 BOPD</t>
  </si>
  <si>
    <t>8 MCF</t>
  </si>
  <si>
    <t>367 BWPD</t>
  </si>
  <si>
    <t>11514-11525</t>
  </si>
  <si>
    <t>8674-8457, 3510-3292, 2034-4</t>
  </si>
  <si>
    <t>0905120005-01</t>
  </si>
  <si>
    <t>OG_399</t>
  </si>
  <si>
    <t>J M CARTER #1</t>
  </si>
  <si>
    <t>DIL DIP</t>
  </si>
  <si>
    <t>1S25 6S 16E</t>
  </si>
  <si>
    <t>29° 56' 19.1926" N</t>
  </si>
  <si>
    <t>82° 39' 56.4296" W</t>
  </si>
  <si>
    <t>1987'FNL&amp;1981'FEL</t>
  </si>
  <si>
    <t>8-5/8"@ 1400'</t>
  </si>
  <si>
    <t>2814-3069</t>
  </si>
  <si>
    <t>1510-1283 20-0</t>
  </si>
  <si>
    <t>0902320003</t>
  </si>
  <si>
    <t>OG_400</t>
  </si>
  <si>
    <t>GCRC #26</t>
  </si>
  <si>
    <t>IEL CDN SNP</t>
  </si>
  <si>
    <t>26° 17' 10.9743" N</t>
  </si>
  <si>
    <t>81° 21' 39.92407" W</t>
  </si>
  <si>
    <t>1984'FSL&amp;2015'FWL</t>
  </si>
  <si>
    <t>20" @ 245'</t>
  </si>
  <si>
    <t>13-3\8" @ 1403'</t>
  </si>
  <si>
    <t>9-5\8" @ 3699'</t>
  </si>
  <si>
    <t>5-1\2" @ 11,711</t>
  </si>
  <si>
    <t>592 BOPD</t>
  </si>
  <si>
    <t>59 MCF</t>
  </si>
  <si>
    <t>424 BWPD</t>
  </si>
  <si>
    <t>11573-11584, 11598-11604</t>
  </si>
  <si>
    <t>8871-9338, 1706-1800, 0-1430</t>
  </si>
  <si>
    <t>0902120006</t>
  </si>
  <si>
    <t>OG_401</t>
  </si>
  <si>
    <t>LAKE TRAFFORD</t>
  </si>
  <si>
    <t>MOBIL OIL CORP, SOLD TO KANABA 7/18/77</t>
  </si>
  <si>
    <t>BARRON COLLIER JR #1</t>
  </si>
  <si>
    <t>IEL BHCS DIR</t>
  </si>
  <si>
    <t>4S9 47S 28E</t>
  </si>
  <si>
    <t>26° 24' 3.34665" N</t>
  </si>
  <si>
    <t>81° 31' 14.66168" W</t>
  </si>
  <si>
    <t>20" @269'</t>
  </si>
  <si>
    <t>13-3/8"@ 1507'</t>
  </si>
  <si>
    <t>9-5/8"@ 3830'</t>
  </si>
  <si>
    <t>5-1/2"@ 11987'</t>
  </si>
  <si>
    <t>2-1/2"@ 11089'</t>
  </si>
  <si>
    <t>11677-11916</t>
  </si>
  <si>
    <t>11837-11886</t>
  </si>
  <si>
    <t>118 BOPD</t>
  </si>
  <si>
    <t>78 BWPD</t>
  </si>
  <si>
    <t>11870-11892</t>
  </si>
  <si>
    <t>11200-11427, 9165-9266</t>
  </si>
  <si>
    <t>0902120007</t>
  </si>
  <si>
    <t>Lake Trafford Field discovery well</t>
  </si>
  <si>
    <t>401AH</t>
  </si>
  <si>
    <t>MOBIL/KANABA/U.S.CAPITAL ENERGY INC.</t>
  </si>
  <si>
    <t>BARRON COLLIER COMPANY 16-1A-H</t>
  </si>
  <si>
    <t>DIR</t>
  </si>
  <si>
    <t>1982'FSL&amp;1980'FEL</t>
  </si>
  <si>
    <t>1143FNL&amp;1260FEL Sec 16</t>
  </si>
  <si>
    <t>7" @ 12058'</t>
  </si>
  <si>
    <t>2-7/8"@12014'</t>
  </si>
  <si>
    <t>65 BOPD</t>
  </si>
  <si>
    <t>OH HZ 12365-14777 MD</t>
  </si>
  <si>
    <t>3492-4318,9-2000</t>
  </si>
  <si>
    <t>0902120007-01</t>
  </si>
  <si>
    <t>OG_402</t>
  </si>
  <si>
    <t>DUVAL</t>
  </si>
  <si>
    <t>THOMAS A DURHAM</t>
  </si>
  <si>
    <t>MONTICELLO DRUG CO #1</t>
  </si>
  <si>
    <t>1S23 1S 24E</t>
  </si>
  <si>
    <t>30° 24' 19.84507" N</t>
  </si>
  <si>
    <t>81° 52' 19.41848" W</t>
  </si>
  <si>
    <t>630'FNL&amp;1990'FEL</t>
  </si>
  <si>
    <t>16"@ 117</t>
  </si>
  <si>
    <t>10-3/4"@ 456</t>
  </si>
  <si>
    <t>7-5/8"@ 2929</t>
  </si>
  <si>
    <t>1888-4037</t>
  </si>
  <si>
    <t>2978-2678</t>
  </si>
  <si>
    <t>0903120001</t>
  </si>
  <si>
    <t>USGS used this well as a monitor well (USGS D-349)after drilling was completed(see letter in file)</t>
  </si>
  <si>
    <t>OG_403</t>
  </si>
  <si>
    <t>SHEPARD DAIRY INC #1</t>
  </si>
  <si>
    <t>1S19 32S 27E</t>
  </si>
  <si>
    <t>27° 41' 18.78241" N</t>
  </si>
  <si>
    <t>81° 39' 7.9799" W</t>
  </si>
  <si>
    <t>660'FNL&amp;1982'FEL</t>
  </si>
  <si>
    <t>20"@ 196</t>
  </si>
  <si>
    <t>13-3/8"@ 540'</t>
  </si>
  <si>
    <t>9-5/8"@ 3089'</t>
  </si>
  <si>
    <t>9670-9370,3189-2989,514-414,15-0</t>
  </si>
  <si>
    <t>0910520001</t>
  </si>
  <si>
    <t>OG_404</t>
  </si>
  <si>
    <t>GILMAN PAPER CO #1</t>
  </si>
  <si>
    <t>4S11 3S 23E</t>
  </si>
  <si>
    <t>30° 15' 4.28317" N</t>
  </si>
  <si>
    <t>81° 58' 19.48058" W</t>
  </si>
  <si>
    <t xml:space="preserve">1930'FSL&amp;1950'FEL </t>
  </si>
  <si>
    <t>16"@ 187</t>
  </si>
  <si>
    <t>10-3/4"@ 589</t>
  </si>
  <si>
    <t>7-5/8"@ 2927</t>
  </si>
  <si>
    <t>3410-3580</t>
  </si>
  <si>
    <t>3010-2810,2071-1971</t>
  </si>
  <si>
    <t>0903120002</t>
  </si>
  <si>
    <t>OG_405</t>
  </si>
  <si>
    <t>ARDEN A ANDERSON</t>
  </si>
  <si>
    <t>STATE OF FLORIDA LEASE 2338 ETAL #1</t>
  </si>
  <si>
    <t>1S14 1S 28W</t>
  </si>
  <si>
    <t>30° 30' 40.5061" N</t>
  </si>
  <si>
    <t>87° 0' 20.7113" W</t>
  </si>
  <si>
    <t>SEE FILE FOR LOCATION</t>
  </si>
  <si>
    <t>8-5/8"@ 462'</t>
  </si>
  <si>
    <t>980-1300,406-506,0-10</t>
  </si>
  <si>
    <t>0911320005</t>
  </si>
  <si>
    <t>OG_406</t>
  </si>
  <si>
    <t>GCRC #27</t>
  </si>
  <si>
    <t>IEL CDN CALIPER</t>
  </si>
  <si>
    <t>26° 17' 30.24891" N</t>
  </si>
  <si>
    <t>81° 22' 31.66086" W</t>
  </si>
  <si>
    <t>1400'FNL&amp;2600' FEL</t>
  </si>
  <si>
    <t>20" @ 187'</t>
  </si>
  <si>
    <t>13-3/8" @ 1417'</t>
  </si>
  <si>
    <t>9-5/8" @ 3715'</t>
  </si>
  <si>
    <t>7" @ 11716'</t>
  </si>
  <si>
    <t>2-7/8"@7607'</t>
  </si>
  <si>
    <t>294 BWPD</t>
  </si>
  <si>
    <t>11588-11600</t>
  </si>
  <si>
    <t>11022-10507,3665-3417,2050-1750,1721-4</t>
  </si>
  <si>
    <t>0902120008</t>
  </si>
  <si>
    <t>OG_407</t>
  </si>
  <si>
    <t>LADI #14-2</t>
  </si>
  <si>
    <t>IEL BHCS CNLDN CALIPER</t>
  </si>
  <si>
    <t>2S14 45S 27E</t>
  </si>
  <si>
    <t>26° 33' 57.18035" N</t>
  </si>
  <si>
    <t>81° 35' 34.47812" W</t>
  </si>
  <si>
    <t>1661'FNL&amp;1303'FWL</t>
  </si>
  <si>
    <t>22"@ 224'</t>
  </si>
  <si>
    <t>10-3/4"@ 3991'</t>
  </si>
  <si>
    <t>16"@ 1206'</t>
  </si>
  <si>
    <t>7-5/8" @ 12,730</t>
  </si>
  <si>
    <t>11,442-15,709</t>
  </si>
  <si>
    <t>OIL &amp; SW CUT MUD</t>
  </si>
  <si>
    <t>508 BOPD</t>
  </si>
  <si>
    <t>20 BWPD</t>
  </si>
  <si>
    <t>11,472-11,484</t>
  </si>
  <si>
    <t>13200-12550,11500-11000,3919-3861,1805-1528,</t>
  </si>
  <si>
    <t>0907120002</t>
  </si>
  <si>
    <t>OG_408</t>
  </si>
  <si>
    <t>HENRY SANDERS TRUSTEE #1</t>
  </si>
  <si>
    <t>1S35 46S 27E</t>
  </si>
  <si>
    <t>26° 25' 59.02542" N</t>
  </si>
  <si>
    <t>81° 34' 56.56554" W</t>
  </si>
  <si>
    <t>1320'FNL&amp;1200'FEL</t>
  </si>
  <si>
    <t>20"@ 243'</t>
  </si>
  <si>
    <t>13-3/8"@ 1483'</t>
  </si>
  <si>
    <t>9-5/8" @ 3737'</t>
  </si>
  <si>
    <t>5-1/2"@ 11955'</t>
  </si>
  <si>
    <t>11350-11880</t>
  </si>
  <si>
    <t>11838-11888</t>
  </si>
  <si>
    <t>O&amp;G CUT</t>
  </si>
  <si>
    <t>11437-11870, 37-480</t>
  </si>
  <si>
    <t>0907120001</t>
  </si>
  <si>
    <t>OG_409</t>
  </si>
  <si>
    <t>LCC A #28-4</t>
  </si>
  <si>
    <t>4S28 45S 28E</t>
  </si>
  <si>
    <t>26° 31' 54.38132" N</t>
  </si>
  <si>
    <t>81° 31' 8.80489" W</t>
  </si>
  <si>
    <t>1330'FSL&amp;1527'FEL</t>
  </si>
  <si>
    <t>0905120010</t>
  </si>
  <si>
    <t>OG_410</t>
  </si>
  <si>
    <t>GILMAN PAPER CO #B-1</t>
  </si>
  <si>
    <t>IEL CDN</t>
  </si>
  <si>
    <t>2S17 3S 23E</t>
  </si>
  <si>
    <t>30° 14' 38.41634" N</t>
  </si>
  <si>
    <t>82° 1' 52.77184" W</t>
  </si>
  <si>
    <t>462'FNL&amp;668'FWL</t>
  </si>
  <si>
    <t>16"@ 207</t>
  </si>
  <si>
    <t>10-3/4"@ 732</t>
  </si>
  <si>
    <t>7-5/8"@ 2959</t>
  </si>
  <si>
    <t>3021-3510</t>
  </si>
  <si>
    <t>3031-2626</t>
  </si>
  <si>
    <t>0903120003</t>
  </si>
  <si>
    <t>USGS reentered well and converted it to a monitor well</t>
  </si>
  <si>
    <t>OG_411</t>
  </si>
  <si>
    <t>SUN OIL CO, NOW EXXON, CALUMET</t>
  </si>
  <si>
    <t>RED CATTLE CO B #33-2</t>
  </si>
  <si>
    <t>2S33 45S 28E</t>
  </si>
  <si>
    <t>26° 31' 27.77644" N</t>
  </si>
  <si>
    <t>81° 31' 36.43594" W</t>
  </si>
  <si>
    <t>1330'FNL&amp;1325'FWL</t>
  </si>
  <si>
    <t>20"@ 204'</t>
  </si>
  <si>
    <t>9-5/8"@ 3570'</t>
  </si>
  <si>
    <t>5-1/2"@ 11685'</t>
  </si>
  <si>
    <t>2-7/8"@ 4687'</t>
  </si>
  <si>
    <t>11445-11685</t>
  </si>
  <si>
    <t>408 BOPD</t>
  </si>
  <si>
    <t>203 MCF</t>
  </si>
  <si>
    <t>12 BWPD</t>
  </si>
  <si>
    <t>11464-11472</t>
  </si>
  <si>
    <t>11631-11725,11100-10890,3468-3682,889-2010,640-778,0-135</t>
  </si>
  <si>
    <t>0905120007</t>
  </si>
  <si>
    <t>OG_412</t>
  </si>
  <si>
    <t>LCC A #32-1</t>
  </si>
  <si>
    <t>PRODUCER/TA</t>
  </si>
  <si>
    <t>IEL BHCS CDN SNP</t>
  </si>
  <si>
    <t>1S32 45S 28E</t>
  </si>
  <si>
    <t>26° 31' 29.51628" N</t>
  </si>
  <si>
    <t>81° 32' 3.23383" W</t>
  </si>
  <si>
    <t>1100'FNL&amp;1100'FEL</t>
  </si>
  <si>
    <t>20'@ 227'</t>
  </si>
  <si>
    <t>13-3/8"@ 1207'</t>
  </si>
  <si>
    <t>9-5/8"@ 3602'</t>
  </si>
  <si>
    <t>7"@ 11600'</t>
  </si>
  <si>
    <t>2-7/8"@ 7494'</t>
  </si>
  <si>
    <t>11442-11479</t>
  </si>
  <si>
    <t>505 BOPD</t>
  </si>
  <si>
    <t>0 MCF</t>
  </si>
  <si>
    <t>7 BWPD</t>
  </si>
  <si>
    <t>11451-11463</t>
  </si>
  <si>
    <t>11056-11470 3319-3800,1020-2007, 611-818, 164-371, 0-116</t>
  </si>
  <si>
    <t>0905120006</t>
  </si>
  <si>
    <t>OG_413</t>
  </si>
  <si>
    <t>RED CATTLE CO B #29-4</t>
  </si>
  <si>
    <t>4S29 45S 28E</t>
  </si>
  <si>
    <t>26° 31' 51.765" N</t>
  </si>
  <si>
    <t>81° 32' 2.90871" W</t>
  </si>
  <si>
    <t xml:space="preserve">1075'FSL&amp;1116'FEL </t>
  </si>
  <si>
    <t>13-3/8" @ 1345'</t>
  </si>
  <si>
    <t>9-5/8" @ 3592'</t>
  </si>
  <si>
    <t>2-7/8" @ 6469'</t>
  </si>
  <si>
    <t>11446-11477</t>
  </si>
  <si>
    <t>538 BOPD</t>
  </si>
  <si>
    <t>248 MCF</t>
  </si>
  <si>
    <t>14 BWPD</t>
  </si>
  <si>
    <t>11451-11464</t>
  </si>
  <si>
    <t>8725-11485, 3309-3555,1172-2020,623-823,173-373,0-110</t>
  </si>
  <si>
    <t>0905120008</t>
  </si>
  <si>
    <t>OG_414</t>
  </si>
  <si>
    <t>RED CATTLE CO B #33-3</t>
  </si>
  <si>
    <t>IEL BHCS SL</t>
  </si>
  <si>
    <t>3S33 45S 28E</t>
  </si>
  <si>
    <t>26° 31' 2.78663" N</t>
  </si>
  <si>
    <t>81° 31' 33.67114" W</t>
  </si>
  <si>
    <t>1555'FSL&amp;1325'FWL</t>
  </si>
  <si>
    <t>20"@ 210</t>
  </si>
  <si>
    <t>13-3/8"@ 1380</t>
  </si>
  <si>
    <t>9-5/8"@ 3570</t>
  </si>
  <si>
    <t>11455-11672</t>
  </si>
  <si>
    <t>11490-11682</t>
  </si>
  <si>
    <t>11382-11682,3470-3670</t>
  </si>
  <si>
    <t>0905120009</t>
  </si>
  <si>
    <t>P# 478 sidetracked from this wellbore</t>
  </si>
  <si>
    <t>OG_415</t>
  </si>
  <si>
    <t>TRITON OIL &amp; GAS CORP</t>
  </si>
  <si>
    <t>UNIVERSITY OF MIAMI #1</t>
  </si>
  <si>
    <t>3S0 54S 34E</t>
  </si>
  <si>
    <t>25° 45' 45.22698" N</t>
  </si>
  <si>
    <t>80° 55' 8.97053" W</t>
  </si>
  <si>
    <t xml:space="preserve">483'FSL&amp;660'FWL </t>
  </si>
  <si>
    <t>0908720001</t>
  </si>
  <si>
    <t>OG_416</t>
  </si>
  <si>
    <t>LCC A #32-2</t>
  </si>
  <si>
    <t>TA</t>
  </si>
  <si>
    <t>2S32 45S 28E</t>
  </si>
  <si>
    <t>26° 31' 26.56255" N</t>
  </si>
  <si>
    <t>81° 32' 34.18885" W</t>
  </si>
  <si>
    <t>1420'FNL&amp;1527'FWL</t>
  </si>
  <si>
    <t>20"@ 201'</t>
  </si>
  <si>
    <t>13-3/8"@ 1234'</t>
  </si>
  <si>
    <t>9-5/8"@ 3608'</t>
  </si>
  <si>
    <t>7"@ 11674'</t>
  </si>
  <si>
    <t>2-7/8"@ 11456'</t>
  </si>
  <si>
    <t>11426-11649</t>
  </si>
  <si>
    <t>438 BOPD</t>
  </si>
  <si>
    <t>11439-11445</t>
  </si>
  <si>
    <t>11674-11485 11476-11041 9800-9697</t>
  </si>
  <si>
    <t>0905120011</t>
  </si>
  <si>
    <t>416AHL</t>
  </si>
  <si>
    <t>LCC A #32-2AHL</t>
  </si>
  <si>
    <t>DIR GR CAL IND DPHI NPHI RHOB</t>
  </si>
  <si>
    <t>1417'FNL&amp;1561'FWL</t>
  </si>
  <si>
    <t>357'FNL&amp;1489'FEL</t>
  </si>
  <si>
    <t>9-5/8"@3608'</t>
  </si>
  <si>
    <t>7-5/8"@ 11958' MD</t>
  </si>
  <si>
    <t>OH HZ 12112-14174 MD</t>
  </si>
  <si>
    <t>0905120011-01</t>
  </si>
  <si>
    <t>Alternate PA Number: 306468</t>
  </si>
  <si>
    <t>OG_417</t>
  </si>
  <si>
    <t>JAY</t>
  </si>
  <si>
    <t>SRPC ETAL #1-B</t>
  </si>
  <si>
    <t>INJ</t>
  </si>
  <si>
    <t>DIL BHCS CDN SNP MUD CC PD DIP</t>
  </si>
  <si>
    <t>1S43 5N 29W</t>
  </si>
  <si>
    <t>30° 57' 52.39235" N</t>
  </si>
  <si>
    <t>87° 10' 40.27642" W</t>
  </si>
  <si>
    <t>1320'FNL&amp;1720'FEL of SEC 9</t>
  </si>
  <si>
    <t>20"@88'</t>
  </si>
  <si>
    <t>10-3/4"@ 3653'</t>
  </si>
  <si>
    <t>7"@ 15646'</t>
  </si>
  <si>
    <t>3-1/2"@ 14878'</t>
  </si>
  <si>
    <t>15446-15817</t>
  </si>
  <si>
    <t>1712BOPD</t>
  </si>
  <si>
    <t>2145 MCF</t>
  </si>
  <si>
    <t>15470'-15524' with 2 spf</t>
  </si>
  <si>
    <t>0911320006</t>
  </si>
  <si>
    <t>Jay Field discovery well. Alternate PA Number: 309836</t>
  </si>
  <si>
    <t>417AH</t>
  </si>
  <si>
    <t>SRPC ETAL #1-B AH</t>
  </si>
  <si>
    <t>EXPIRED</t>
  </si>
  <si>
    <t>2791.1' NNW of SHL</t>
  </si>
  <si>
    <t>OG_418</t>
  </si>
  <si>
    <t>SEMINOLE TRIBE #1</t>
  </si>
  <si>
    <t>BIG CYPRESS INDIAN RESERV</t>
  </si>
  <si>
    <t>2S8 48S 33E</t>
  </si>
  <si>
    <t>26° 19' 32.25501" N</t>
  </si>
  <si>
    <t>81° 3' 19.24777" W</t>
  </si>
  <si>
    <t>1320'FNL&amp;1341'FWL</t>
  </si>
  <si>
    <t>20"@ 234'</t>
  </si>
  <si>
    <t>13-3/8"@ 1625'</t>
  </si>
  <si>
    <t>9-5/8"@ 4010'</t>
  </si>
  <si>
    <t>7"@ 11919'</t>
  </si>
  <si>
    <t>11030-11464</t>
  </si>
  <si>
    <t>9522-9566,11407-11437</t>
  </si>
  <si>
    <t>9239-9693,0-500(7"),0-93(7&amp;9 5/8 annulus)</t>
  </si>
  <si>
    <t>0905120012</t>
  </si>
  <si>
    <t>OG_419</t>
  </si>
  <si>
    <t>LCC A #32-3</t>
  </si>
  <si>
    <t>3S32 45S 28E</t>
  </si>
  <si>
    <t>26° 31' 2.66191" N</t>
  </si>
  <si>
    <t>81° 32' 34.12675" W</t>
  </si>
  <si>
    <t>1540'FSL&amp;1540'FWL</t>
  </si>
  <si>
    <t>13-3/8"@ 1227'</t>
  </si>
  <si>
    <t>9-5/8"@ 3607'</t>
  </si>
  <si>
    <t>7"@ 11690'</t>
  </si>
  <si>
    <t>2-7/8"@ 11490'</t>
  </si>
  <si>
    <t>11403-11627</t>
  </si>
  <si>
    <t>662 BOPD</t>
  </si>
  <si>
    <t>10956-11533,3340-3557,536-1892,4-200</t>
  </si>
  <si>
    <t>0905120013</t>
  </si>
  <si>
    <t>OG_420</t>
  </si>
  <si>
    <t>LCC A #30-4</t>
  </si>
  <si>
    <t>4S30 45S 28E</t>
  </si>
  <si>
    <t>26° 31' 51.27496" N</t>
  </si>
  <si>
    <t>81° 33' 2.94222" W</t>
  </si>
  <si>
    <t xml:space="preserve">1100'FSL&amp;1100'FEL </t>
  </si>
  <si>
    <t>20"@ 210'</t>
  </si>
  <si>
    <t>9-5/8"@ 3592'</t>
  </si>
  <si>
    <t>13-3/8"@ 1225'</t>
  </si>
  <si>
    <t>7"@ 11713'</t>
  </si>
  <si>
    <t>2-7/8"@ 11460'</t>
  </si>
  <si>
    <t>11422-12494</t>
  </si>
  <si>
    <t>752 BOPD</t>
  </si>
  <si>
    <t>11443-11454</t>
  </si>
  <si>
    <t>10970-11470,1066-1980,628-828,198-398,0-127</t>
  </si>
  <si>
    <t>0905120014</t>
  </si>
  <si>
    <t>OG_421</t>
  </si>
  <si>
    <t>RED CATTLE CO B #29-3</t>
  </si>
  <si>
    <t>3S29 45S 28E</t>
  </si>
  <si>
    <t>26° 31' 54.08422" N</t>
  </si>
  <si>
    <t>81° 32' 36.05221" W</t>
  </si>
  <si>
    <t xml:space="preserve">1317'FSL&amp;1356'FWL </t>
  </si>
  <si>
    <t>20"@ 202'</t>
  </si>
  <si>
    <t>13-3/8"@ 1331'</t>
  </si>
  <si>
    <t>9-5/8"@ 3567'</t>
  </si>
  <si>
    <t>5-1/2"@ 11555'</t>
  </si>
  <si>
    <t>2-2/8"@ 11444'</t>
  </si>
  <si>
    <t>11398-403,11404-493</t>
  </si>
  <si>
    <t>737 BOPD</t>
  </si>
  <si>
    <t>49 MCF</t>
  </si>
  <si>
    <t>11432-11442</t>
  </si>
  <si>
    <t>10365-11450, 6035-6080, 3509-3634, 1000-1899, 605-812, 4-100</t>
  </si>
  <si>
    <t>0905120015</t>
  </si>
  <si>
    <t>OG_422</t>
  </si>
  <si>
    <t>LCC A #26-1</t>
  </si>
  <si>
    <t>1S26 45S 27E</t>
  </si>
  <si>
    <t>26° 32' 23.71927" N</t>
  </si>
  <si>
    <t>81° 34' 53.68285" W</t>
  </si>
  <si>
    <t xml:space="preserve">584'FNL&amp;300'FEL </t>
  </si>
  <si>
    <t>1492FNL&amp;1233FEL</t>
  </si>
  <si>
    <t>20"@ 235'</t>
  </si>
  <si>
    <t>13-3/8"@ 1173'</t>
  </si>
  <si>
    <t>9-5/8"@ 3611'</t>
  </si>
  <si>
    <t>11577-11859</t>
  </si>
  <si>
    <t>11200-11800, ????-3297</t>
  </si>
  <si>
    <t>0907120003</t>
  </si>
  <si>
    <t>P# 744 Kicked off from this well</t>
  </si>
  <si>
    <t>OG_423</t>
  </si>
  <si>
    <t>LCC A #30-3</t>
  </si>
  <si>
    <t>3S30 45S 28E</t>
  </si>
  <si>
    <t>26° 31' 53.24204" N</t>
  </si>
  <si>
    <t>81° 33' 36.32242" W</t>
  </si>
  <si>
    <t>1305'FSL&amp;1320'FWL</t>
  </si>
  <si>
    <t>13-3/8"@ 1224'</t>
  </si>
  <si>
    <t>9-5/8"@ 3591'</t>
  </si>
  <si>
    <t>7"@ 11730'</t>
  </si>
  <si>
    <t>2-7/8"@ 6000'</t>
  </si>
  <si>
    <t>11434-11493</t>
  </si>
  <si>
    <t>608 BOPD</t>
  </si>
  <si>
    <t>2 BWPD</t>
  </si>
  <si>
    <t>11470-11475</t>
  </si>
  <si>
    <t xml:space="preserve">10706-11633, 3207-3544, 1069-1903, 625-825, 177-377, 0-121 </t>
  </si>
  <si>
    <t>0905110016</t>
  </si>
  <si>
    <t>OG_424</t>
  </si>
  <si>
    <t>EXCHANGE OIL &amp; GAS CO</t>
  </si>
  <si>
    <t>FLORIDA LAND &amp; TIMBER CO #1</t>
  </si>
  <si>
    <t>IEL BHCS DIP</t>
  </si>
  <si>
    <t>3S17 46S 33E</t>
  </si>
  <si>
    <t>26° 28' 44.48811" N</t>
  </si>
  <si>
    <t>81° 3' 23.76136" W</t>
  </si>
  <si>
    <t>1358'FSL&amp;1316'FWL</t>
  </si>
  <si>
    <t>20"@ 186'</t>
  </si>
  <si>
    <t>13-3/8"@ 1460'</t>
  </si>
  <si>
    <t>9-5/8"@ 3825'</t>
  </si>
  <si>
    <t>11374-11407</t>
  </si>
  <si>
    <t>11250-11550, 3625-3825,3-25</t>
  </si>
  <si>
    <t>0905120017</t>
  </si>
  <si>
    <t>OG_425</t>
  </si>
  <si>
    <t>LEHIGH &amp; CONSOLIDATED UNIT #8-2</t>
  </si>
  <si>
    <t>2S8 45S 27E</t>
  </si>
  <si>
    <t>26° 34' 53.52877" N</t>
  </si>
  <si>
    <t>81° 38' 26.60752" W</t>
  </si>
  <si>
    <t>1000'FNL&amp;2180'FWL</t>
  </si>
  <si>
    <t>20"@ 240'</t>
  </si>
  <si>
    <t>13-3/8"@ 1240'</t>
  </si>
  <si>
    <t>9-5/8"@ 3617'</t>
  </si>
  <si>
    <t>11438-11552</t>
  </si>
  <si>
    <t>11150-11720, 3241-3488,10-200</t>
  </si>
  <si>
    <t>0907120004</t>
  </si>
  <si>
    <t>OG_426</t>
  </si>
  <si>
    <t>RED CATTLE CO B #31-2</t>
  </si>
  <si>
    <t>2S31 45S 28E</t>
  </si>
  <si>
    <t>26° 31' 29.55927" N</t>
  </si>
  <si>
    <t>81° 33' 34.46575" W</t>
  </si>
  <si>
    <t xml:space="preserve">1142'FNL&amp;1385'FWL </t>
  </si>
  <si>
    <t>20"@ 203'</t>
  </si>
  <si>
    <t>13-3/8 @1266'</t>
  </si>
  <si>
    <t>9-5/8" @ 3555'</t>
  </si>
  <si>
    <t>5-1/2" @ 11575'</t>
  </si>
  <si>
    <t>2-7/8" @ 5507'</t>
  </si>
  <si>
    <t>11442-11499</t>
  </si>
  <si>
    <t>55 BbLS</t>
  </si>
  <si>
    <t>72 MCF</t>
  </si>
  <si>
    <t>11434 - 11451</t>
  </si>
  <si>
    <t>11048-11454, 3255-3507,1857-1954,1110-1689,600-803, 4-303</t>
  </si>
  <si>
    <t>0905120018</t>
  </si>
  <si>
    <t>OG_427</t>
  </si>
  <si>
    <t>RED CATTLE-MCCABE UNIT #31-4</t>
  </si>
  <si>
    <t>JUNKED/SERVICE</t>
  </si>
  <si>
    <t>4S31 45S 28E</t>
  </si>
  <si>
    <t>26° 31' 2.33976" N</t>
  </si>
  <si>
    <t>81° 33' 4.02552" W</t>
  </si>
  <si>
    <t xml:space="preserve">1522'FSL&amp;1623'FEL </t>
  </si>
  <si>
    <t>20" @ 207'</t>
  </si>
  <si>
    <t>13-3/8" @ 1362'</t>
  </si>
  <si>
    <t>2-7/8" @ 2368'</t>
  </si>
  <si>
    <t>0905120019</t>
  </si>
  <si>
    <t>427A</t>
  </si>
  <si>
    <t>RED CATTLE-MCCABE UNIT #31-4A</t>
  </si>
  <si>
    <t>26° 31' 2.32219" N</t>
  </si>
  <si>
    <t>81° 33' 8.41802" W</t>
  </si>
  <si>
    <t>1522'FSL&amp;1623'FEL</t>
  </si>
  <si>
    <t>13-3/8"@ 1260'</t>
  </si>
  <si>
    <t>9-5/8"@ 3537'</t>
  </si>
  <si>
    <t>5-1/2"@ 11694'</t>
  </si>
  <si>
    <t>2-7/8" @ 5514'</t>
  </si>
  <si>
    <t>11454-11515</t>
  </si>
  <si>
    <t>6 MCFPD</t>
  </si>
  <si>
    <t>545 BWPD</t>
  </si>
  <si>
    <t>11476-11486</t>
  </si>
  <si>
    <t>11075-11519, 3263-3760,460-1833,4-156</t>
  </si>
  <si>
    <t>0905120025</t>
  </si>
  <si>
    <t>OG_428</t>
  </si>
  <si>
    <t>RED CATTLE CO B #31-1</t>
  </si>
  <si>
    <t>1S31 45S 28E</t>
  </si>
  <si>
    <t>26° 31' 27.20418" N</t>
  </si>
  <si>
    <t>81° 33' 6.26531" W</t>
  </si>
  <si>
    <t>1320'FNL&amp;1301'FEL</t>
  </si>
  <si>
    <t>13-3/8"@ 1268'</t>
  </si>
  <si>
    <t>9-5/8"@ 3505'</t>
  </si>
  <si>
    <t>5-1/2"@ 11700'</t>
  </si>
  <si>
    <t>2-1/2"@ 4547'</t>
  </si>
  <si>
    <t>11430-11472</t>
  </si>
  <si>
    <t>1275 BBLS</t>
  </si>
  <si>
    <t>8 BBLS</t>
  </si>
  <si>
    <t>11416-11434</t>
  </si>
  <si>
    <t>1027-2255,433-833, 4-104</t>
  </si>
  <si>
    <t>0905120020</t>
  </si>
  <si>
    <t>OG_429</t>
  </si>
  <si>
    <t>RED CATTLE-MCCABE UNIT A #31-3</t>
  </si>
  <si>
    <t>IEL BHCS CALIPER</t>
  </si>
  <si>
    <t>3S31 45S 28E</t>
  </si>
  <si>
    <t>26° 31' 5.87487" N</t>
  </si>
  <si>
    <t>81° 33' 36.19631" W</t>
  </si>
  <si>
    <t>1830'FSL&amp;1285'FWL</t>
  </si>
  <si>
    <t>13-3/8 @ 1264'</t>
  </si>
  <si>
    <t>9-5/8 @ 3565'</t>
  </si>
  <si>
    <t>5-1/2" @ 11590'</t>
  </si>
  <si>
    <t>2-7/8 @ 5002'</t>
  </si>
  <si>
    <t>11461-11496</t>
  </si>
  <si>
    <t>315 BBL</t>
  </si>
  <si>
    <t>26 MCF</t>
  </si>
  <si>
    <t>26 BBL</t>
  </si>
  <si>
    <t>11454-11458 11470-11478</t>
  </si>
  <si>
    <t>11275-11375, 3291-3900, 240-1922, 0-200</t>
  </si>
  <si>
    <t>0905120021</t>
  </si>
  <si>
    <t>OG_430</t>
  </si>
  <si>
    <t>CFC #25-2</t>
  </si>
  <si>
    <t>2S25 45S 27E</t>
  </si>
  <si>
    <t>26° 32' 17.37917" N</t>
  </si>
  <si>
    <t>81° 34' 35.57261" W</t>
  </si>
  <si>
    <t>1146'FNL&amp;1291'FWL</t>
  </si>
  <si>
    <t>0907120005</t>
  </si>
  <si>
    <t>OG_431</t>
  </si>
  <si>
    <t>LCC A #30-1</t>
  </si>
  <si>
    <t>1S30 45S 28E</t>
  </si>
  <si>
    <t>26° 32' 17.78424" N</t>
  </si>
  <si>
    <t>81° 33' 9.26368" W</t>
  </si>
  <si>
    <t>1560'FNL&amp;1640'FEL</t>
  </si>
  <si>
    <t>20" @ 208'</t>
  </si>
  <si>
    <t>13-3/8" @ 1375'</t>
  </si>
  <si>
    <t>7" @ 11715'</t>
  </si>
  <si>
    <t>2-7/8" @ 7000'</t>
  </si>
  <si>
    <t>11436-11523</t>
  </si>
  <si>
    <t>372 BOPD</t>
  </si>
  <si>
    <t>16 BWPD</t>
  </si>
  <si>
    <t>11460-11470</t>
  </si>
  <si>
    <t>11265-11434,3664-4005,1150-2005,633-833,185-385,0-120</t>
  </si>
  <si>
    <t>0905120022</t>
  </si>
  <si>
    <t>OG_432</t>
  </si>
  <si>
    <t>LCC A #30-2</t>
  </si>
  <si>
    <t>2S30 45S 28E</t>
  </si>
  <si>
    <t>26° 32' 12.25622" N</t>
  </si>
  <si>
    <t>81° 33' 30.93397" W</t>
  </si>
  <si>
    <t>2015'FNL&amp;1774'FWL</t>
  </si>
  <si>
    <t>0905120023</t>
  </si>
  <si>
    <t>OG_433</t>
  </si>
  <si>
    <t>LCC A #32-4</t>
  </si>
  <si>
    <t>4S32 45S 28E</t>
  </si>
  <si>
    <t>26° 31' 7.5808" N</t>
  </si>
  <si>
    <t>81° 32' 14.17063" W</t>
  </si>
  <si>
    <t>1991'FSL&amp;2028'FEL</t>
  </si>
  <si>
    <t>20"@ 207'</t>
  </si>
  <si>
    <t>13-3/8"@ 1318'</t>
  </si>
  <si>
    <t>9-5/8"@ 3599'</t>
  </si>
  <si>
    <t>912 BOPD</t>
  </si>
  <si>
    <t>9 BWPD</t>
  </si>
  <si>
    <t>11440-11454</t>
  </si>
  <si>
    <t>11465-10612,8678-8380,3555-3345,1920-11418,1150-5</t>
  </si>
  <si>
    <t>0905120024</t>
  </si>
  <si>
    <t>OG_434</t>
  </si>
  <si>
    <t>JONES-MCDAVID LANDS #1</t>
  </si>
  <si>
    <t>DIL BHCS CDN SNP DIR</t>
  </si>
  <si>
    <t>4S8 5N 29W</t>
  </si>
  <si>
    <t>30° 58' 17.7168" N</t>
  </si>
  <si>
    <t>87° 10' 31.2384" W</t>
  </si>
  <si>
    <t>1290'FSL&amp;1050'FEL</t>
  </si>
  <si>
    <t>1505'FSL&amp;1060'FEL</t>
  </si>
  <si>
    <t>20"@ 74</t>
  </si>
  <si>
    <t>10-3/4"@ 3587</t>
  </si>
  <si>
    <t>7"@ 15735</t>
  </si>
  <si>
    <t>3-1/2"@ 15047</t>
  </si>
  <si>
    <t>15317-15736</t>
  </si>
  <si>
    <t>120 BOPD</t>
  </si>
  <si>
    <t>4060 BWPD</t>
  </si>
  <si>
    <t>15359-374,15431-494</t>
  </si>
  <si>
    <t>0911320004</t>
  </si>
  <si>
    <t>OG_435</t>
  </si>
  <si>
    <t>ST JOHNS</t>
  </si>
  <si>
    <t>CAROLINA RESOURCES INC</t>
  </si>
  <si>
    <t>CUMMER CO ETAL #1-A</t>
  </si>
  <si>
    <t>IEL CDN GRN</t>
  </si>
  <si>
    <t>2S70 6S 29E</t>
  </si>
  <si>
    <t>29° 57' 15.63" N</t>
  </si>
  <si>
    <t>81° 24' 38.5486" W</t>
  </si>
  <si>
    <t>1300'FNL&amp;800'FWL of Sec 70</t>
  </si>
  <si>
    <t>16"+AH440+AI443</t>
  </si>
  <si>
    <t>10-3/4"@ 1201</t>
  </si>
  <si>
    <t>7-5/8"@ 2918'</t>
  </si>
  <si>
    <t>2630-3030, 20-220</t>
  </si>
  <si>
    <t>0910920001</t>
  </si>
  <si>
    <t>OG_436</t>
  </si>
  <si>
    <t>LEHIGH &amp; CONSOLIDATED #8-3</t>
  </si>
  <si>
    <t>3S8 45S 27E</t>
  </si>
  <si>
    <t>26° 34' 54.49084" N</t>
  </si>
  <si>
    <t>81° 38' 26.01452" W</t>
  </si>
  <si>
    <t>1000'FNL&amp;1622'FWL</t>
  </si>
  <si>
    <t>0907120006</t>
  </si>
  <si>
    <t>OG_437</t>
  </si>
  <si>
    <t>RED CATTLE CO #35-4</t>
  </si>
  <si>
    <t>4S35 45S 28E</t>
  </si>
  <si>
    <t>26° 30' 59.59026" N</t>
  </si>
  <si>
    <t>81° 29' 8.68402" W</t>
  </si>
  <si>
    <t>1140'FSL&amp;1010'FEL</t>
  </si>
  <si>
    <t>13-3/8 @ 1214'</t>
  </si>
  <si>
    <t>9-5/8"@ 3625'</t>
  </si>
  <si>
    <t>11485-11636</t>
  </si>
  <si>
    <t>11080-11680, 3310-3690, 50-300</t>
  </si>
  <si>
    <t>0905120026</t>
  </si>
  <si>
    <t>OG_438</t>
  </si>
  <si>
    <t>LEHIGH-CONSOLIDATED #15-1</t>
  </si>
  <si>
    <t>1S15 45S 27E</t>
  </si>
  <si>
    <t>26° 33' 57.34922" N</t>
  </si>
  <si>
    <t>81° 35' 35.0489" W</t>
  </si>
  <si>
    <t>1637'FNL&amp;1251'FWL</t>
  </si>
  <si>
    <t>0907120007</t>
  </si>
  <si>
    <t>OG_439</t>
  </si>
  <si>
    <t>LEHIGH-CONSOLIDATED #15-4</t>
  </si>
  <si>
    <t>4S15 45S 27E</t>
  </si>
  <si>
    <t>26° 33' 56.72509" N</t>
  </si>
  <si>
    <t>81° 35' 34.8585" W</t>
  </si>
  <si>
    <t>1705'FNL&amp;1266'FWL</t>
  </si>
  <si>
    <t>1338FSL&amp;1383FEL</t>
  </si>
  <si>
    <t>20"@ 212'</t>
  </si>
  <si>
    <t>13-3/8"@ 1221'</t>
  </si>
  <si>
    <t>12296-12326 CHIPS</t>
  </si>
  <si>
    <t>11850-12490, 4117-4627</t>
  </si>
  <si>
    <t>0907120008</t>
  </si>
  <si>
    <t>P# 447 sidetracked from this wellbore @ 4204'</t>
  </si>
  <si>
    <t>OG_440</t>
  </si>
  <si>
    <t>SEL &amp; SIOGC</t>
  </si>
  <si>
    <t>JAMES R LEE #1</t>
  </si>
  <si>
    <t>3S2 5N 33W</t>
  </si>
  <si>
    <t>30° 58' 38.98339" N</t>
  </si>
  <si>
    <t>87° 30' 59.54291" W</t>
  </si>
  <si>
    <t>920'FSL&amp;1320'FWL</t>
  </si>
  <si>
    <t>10-3/4"@ 4120</t>
  </si>
  <si>
    <t>10510-10998,3852-4621, 20-0</t>
  </si>
  <si>
    <t>0903320001</t>
  </si>
  <si>
    <t>OG_441</t>
  </si>
  <si>
    <t>TEXACO INC</t>
  </si>
  <si>
    <t>DESERET FARMS OF FLORIDA INC #1</t>
  </si>
  <si>
    <t>DIL BHCS CDN DIP</t>
  </si>
  <si>
    <t>2S20 23S 33E</t>
  </si>
  <si>
    <t>28° 28' 47.6098" N</t>
  </si>
  <si>
    <t>81° 2' 20.31552" W</t>
  </si>
  <si>
    <t>668'FNL&amp;1981'FWL</t>
  </si>
  <si>
    <t>20&amp;16"@45'&amp;285'</t>
  </si>
  <si>
    <t>10-3/4"@ 1111</t>
  </si>
  <si>
    <t>7-5/8"@ 3510</t>
  </si>
  <si>
    <t>5535-5635</t>
  </si>
  <si>
    <t>3610-3163, 25 Sack surface plug</t>
  </si>
  <si>
    <t>0909520001</t>
  </si>
  <si>
    <t>442W</t>
  </si>
  <si>
    <t>OG_442</t>
  </si>
  <si>
    <t>LCC A #28-2</t>
  </si>
  <si>
    <t>2S28 45S 28E</t>
  </si>
  <si>
    <t>26° 32' 14.32255" N</t>
  </si>
  <si>
    <t>81° 31' 36.52889" W</t>
  </si>
  <si>
    <t>1997'FNL&amp;1320'FWL</t>
  </si>
  <si>
    <t>20" @ 210'</t>
  </si>
  <si>
    <t>13-3/8" @ 1256'</t>
  </si>
  <si>
    <t>9-5/8" @ 1922'</t>
  </si>
  <si>
    <t>7" @ 2720'</t>
  </si>
  <si>
    <t>4-1/2" @ 2641'</t>
  </si>
  <si>
    <t>11461-472, 11472-497</t>
  </si>
  <si>
    <t>315 BOPD</t>
  </si>
  <si>
    <t>28 MCF</t>
  </si>
  <si>
    <t>39 BWPD</t>
  </si>
  <si>
    <t>11464-11475</t>
  </si>
  <si>
    <t>6416-6609 3313-3830</t>
  </si>
  <si>
    <t>0905120027</t>
  </si>
  <si>
    <t>Converted to SWDW 1/1986/EPA # FLI0021</t>
  </si>
  <si>
    <t>OG_443</t>
  </si>
  <si>
    <t>MCDAVID LANDS ETAL #7-1</t>
  </si>
  <si>
    <t>DIL BHCS CDN SNP MUD GR CC DIR</t>
  </si>
  <si>
    <t>1S7 5N 29W</t>
  </si>
  <si>
    <t>30° 58' 42.20128" N</t>
  </si>
  <si>
    <t>87° 10' 3.55117" W</t>
  </si>
  <si>
    <t>1287'FNL&amp;1321'FWL</t>
  </si>
  <si>
    <t>10-3/4"@ 3596'</t>
  </si>
  <si>
    <t>7"@ 15702'</t>
  </si>
  <si>
    <t>2-7/8"@ 15090'</t>
  </si>
  <si>
    <t>15295-702</t>
  </si>
  <si>
    <t>2112 BOPD</t>
  </si>
  <si>
    <t>2184MCF</t>
  </si>
  <si>
    <t>42BWPD</t>
  </si>
  <si>
    <t>15486-15546</t>
  </si>
  <si>
    <t>0911320021</t>
  </si>
  <si>
    <t>OG_444</t>
  </si>
  <si>
    <t>SRPC ETAL #9-3</t>
  </si>
  <si>
    <t>PRODUCER/SI</t>
  </si>
  <si>
    <t>DIL BHCS CDN SNP DIR CFD-GR</t>
  </si>
  <si>
    <t>3S9 5N 29W</t>
  </si>
  <si>
    <t>30° 57' 25.22473" N</t>
  </si>
  <si>
    <t>87° 11' 3.27015" W</t>
  </si>
  <si>
    <t>1119'FSL&amp;1557'FWL</t>
  </si>
  <si>
    <t>10-3/4"@ 3694'</t>
  </si>
  <si>
    <t>7"@ 15936'</t>
  </si>
  <si>
    <t>NONE/TPA</t>
  </si>
  <si>
    <t>15503-15877</t>
  </si>
  <si>
    <t>1944 BOPD</t>
  </si>
  <si>
    <t>1928 MCFPD</t>
  </si>
  <si>
    <t>15542-15680</t>
  </si>
  <si>
    <t>0-100, 1186-1602, 3527-3848, 5845-6185, 13438-13538</t>
  </si>
  <si>
    <t>0911320007</t>
  </si>
  <si>
    <t>OG_445</t>
  </si>
  <si>
    <t>LEHIGH-CONSOLIDATED #22-1</t>
  </si>
  <si>
    <t>1S22 45S 27E</t>
  </si>
  <si>
    <t>26° 32' 43.35515" N</t>
  </si>
  <si>
    <t>81° 36' 21.46946" W</t>
  </si>
  <si>
    <t>1430'FSL&amp;2213'FWL</t>
  </si>
  <si>
    <t>0907120009</t>
  </si>
  <si>
    <t>OG_446</t>
  </si>
  <si>
    <t>LEHIGH-CONSOLIDATED #22-3</t>
  </si>
  <si>
    <t>3S22 45S 27E</t>
  </si>
  <si>
    <t>26° 32' 43.47154" N</t>
  </si>
  <si>
    <t>81° 36' 21.18802" W</t>
  </si>
  <si>
    <t>1439'FSL&amp;2247'FWL</t>
  </si>
  <si>
    <t>0907120010</t>
  </si>
  <si>
    <t>OG_447</t>
  </si>
  <si>
    <t>CFC #11-3</t>
  </si>
  <si>
    <t>3S11 45S 27E</t>
  </si>
  <si>
    <t>26° 33' 56.62904" N</t>
  </si>
  <si>
    <t>81° 35' 34.86138" W</t>
  </si>
  <si>
    <t>1569'FNL&amp;1236'FWL Sec 14</t>
  </si>
  <si>
    <t>1330FSL&amp;1314FWL Sec 11</t>
  </si>
  <si>
    <t>7" @ 12398</t>
  </si>
  <si>
    <t>2-7/8"@ 7000'</t>
  </si>
  <si>
    <t>12120-12167</t>
  </si>
  <si>
    <t>132 BWPD</t>
  </si>
  <si>
    <t>12123-12126</t>
  </si>
  <si>
    <t>10834-12398, 3086-3557, 512-1828, 0-155</t>
  </si>
  <si>
    <t>0907120011</t>
  </si>
  <si>
    <t>Sidetracked from P# 439</t>
  </si>
  <si>
    <t>OG_448</t>
  </si>
  <si>
    <t>NASSAU</t>
  </si>
  <si>
    <t>ITT RAYONIER INC #1</t>
  </si>
  <si>
    <t>4S40 4N 24E</t>
  </si>
  <si>
    <t>30° 47' 8.7474" N</t>
  </si>
  <si>
    <t>81° 54' 35.927" W</t>
  </si>
  <si>
    <t>560'FSL&amp;660'FEL</t>
  </si>
  <si>
    <t>0908920001</t>
  </si>
  <si>
    <t>OG_449</t>
  </si>
  <si>
    <t>ITT RAYONIER #2</t>
  </si>
  <si>
    <t>4S50 3N 27E</t>
  </si>
  <si>
    <t>30° 40' 6.38825" N</t>
  </si>
  <si>
    <t>81° 38' 6.73138" W</t>
  </si>
  <si>
    <t>WEIRD LAND GRANT</t>
  </si>
  <si>
    <t>20"@ 54</t>
  </si>
  <si>
    <t>13-3/8"@ 623</t>
  </si>
  <si>
    <t>9-5/8"@ 2116</t>
  </si>
  <si>
    <t>5429-5444</t>
  </si>
  <si>
    <t>2316-1901,40-0</t>
  </si>
  <si>
    <t>0908920002</t>
  </si>
  <si>
    <t>OG_450</t>
  </si>
  <si>
    <t>MCDAVID LANDS #36-1</t>
  </si>
  <si>
    <t>DIL CDN SNP CFD-GR DIR</t>
  </si>
  <si>
    <t>1S36 6N 30W</t>
  </si>
  <si>
    <t>30° 59' 38.09696" N</t>
  </si>
  <si>
    <t>87° 11' 4.50423" W</t>
  </si>
  <si>
    <t>1028'FSL&amp;300'FEL</t>
  </si>
  <si>
    <t>10-3/4"@ 3475'</t>
  </si>
  <si>
    <t>7"@ 15597'</t>
  </si>
  <si>
    <t>3-1/2"@ 15149</t>
  </si>
  <si>
    <t>15036-15600</t>
  </si>
  <si>
    <t>2170 BOPD</t>
  </si>
  <si>
    <t>2603 MCFPD</t>
  </si>
  <si>
    <t>15198-15434</t>
  </si>
  <si>
    <t>0903320002</t>
  </si>
  <si>
    <t>OG_451</t>
  </si>
  <si>
    <t>LOUISIANA LAND &amp; EXPLORATION CO</t>
  </si>
  <si>
    <t>MCDAVID LANDS #37-4</t>
  </si>
  <si>
    <t>DIL BHCS CDN SNP DIR MICROLOG SNP ML</t>
  </si>
  <si>
    <t>4S37 6N 30W</t>
  </si>
  <si>
    <t>30° 59' 11.45531" N</t>
  </si>
  <si>
    <t>87° 11' 35.13371" W</t>
  </si>
  <si>
    <t>10-3/4"@ 3547'</t>
  </si>
  <si>
    <t>7"@ 15706'</t>
  </si>
  <si>
    <t>2-7/8"@ 15263'</t>
  </si>
  <si>
    <t>15180-15665</t>
  </si>
  <si>
    <t>1513 BOPD</t>
  </si>
  <si>
    <t>1692 MCFPD</t>
  </si>
  <si>
    <t>5 BWPD</t>
  </si>
  <si>
    <t>15,292-15358</t>
  </si>
  <si>
    <t>15603-15290,12377-12440, 6000-6254,3223-3723,1345-1798,19-120</t>
  </si>
  <si>
    <t>0903320003</t>
  </si>
  <si>
    <t>OG_452</t>
  </si>
  <si>
    <t>C H BRAY ETAL #10-4</t>
  </si>
  <si>
    <t xml:space="preserve">Y </t>
  </si>
  <si>
    <t>DIL BHCS CDN-GR GR DIR SNP</t>
  </si>
  <si>
    <t>4S10 5N 29W</t>
  </si>
  <si>
    <t>30° 57' 26.89855" N</t>
  </si>
  <si>
    <t>87° 9' 31.66735" W</t>
  </si>
  <si>
    <t xml:space="preserve">1595'FSL&amp;1062'FEL </t>
  </si>
  <si>
    <t>16"@ 88'</t>
  </si>
  <si>
    <t>10-3/4"@ 2756'</t>
  </si>
  <si>
    <t>7" @ 15848'</t>
  </si>
  <si>
    <t>3-1/2" @ 15253'</t>
  </si>
  <si>
    <t>15366-15848</t>
  </si>
  <si>
    <t>720 BOPD</t>
  </si>
  <si>
    <t>879 MCFPD</t>
  </si>
  <si>
    <t>1 BWPD</t>
  </si>
  <si>
    <t>15552-15576</t>
  </si>
  <si>
    <t>15090-15630</t>
  </si>
  <si>
    <t>0911320008</t>
  </si>
  <si>
    <t>452AH</t>
  </si>
  <si>
    <t>C H BRAY ETAL #10-4AH</t>
  </si>
  <si>
    <t>452BH</t>
  </si>
  <si>
    <t>C H BRAY ETAL #10-4BH</t>
  </si>
  <si>
    <t>MUD COMBOMD COMBOTVD</t>
  </si>
  <si>
    <t>2727' NE OF SHL</t>
  </si>
  <si>
    <t>16"@88'</t>
  </si>
  <si>
    <t>10 3/4"@3756'</t>
  </si>
  <si>
    <t>7"@15,366' MD</t>
  </si>
  <si>
    <t>3-1/2"@ 18420'MD</t>
  </si>
  <si>
    <t>400 BOPD</t>
  </si>
  <si>
    <t>1080 MCFD</t>
  </si>
  <si>
    <t>1200 BWPD</t>
  </si>
  <si>
    <t>15774-18419 MD</t>
  </si>
  <si>
    <t>0911320008-01</t>
  </si>
  <si>
    <t>OG_453</t>
  </si>
  <si>
    <t>MCDAVID LANDS CO #34-4</t>
  </si>
  <si>
    <t>DIL/CAL BHCS CDN SNP ML DIR</t>
  </si>
  <si>
    <t>30° 59' 6.75911" N</t>
  </si>
  <si>
    <t>87° 9' 29.44802" W</t>
  </si>
  <si>
    <t>974'FSL&amp;1076'FEL</t>
  </si>
  <si>
    <t>16"@ 84'</t>
  </si>
  <si>
    <t>10-3/4"@ 3693'</t>
  </si>
  <si>
    <t>7" @ 15838'</t>
  </si>
  <si>
    <t>3-1/2"@ 15487</t>
  </si>
  <si>
    <t>15441-15838</t>
  </si>
  <si>
    <t>1061 BOPD</t>
  </si>
  <si>
    <t>790 MCFPD</t>
  </si>
  <si>
    <t>4.6 GALLON PD</t>
  </si>
  <si>
    <t>15530-15598</t>
  </si>
  <si>
    <t xml:space="preserve">11909-15623,11642-11806, 6100-6583, 3247-3897,1246-1800,6-150 </t>
  </si>
  <si>
    <t>0911320009</t>
  </si>
  <si>
    <t>OG_454</t>
  </si>
  <si>
    <t>COLLIER CO A #24-1</t>
  </si>
  <si>
    <t>1S24 46S 29E</t>
  </si>
  <si>
    <t>26° 28' 4.22742" N</t>
  </si>
  <si>
    <t>81° 22' 22.18591" W</t>
  </si>
  <si>
    <t>1042'FNL&amp;1034'FEL</t>
  </si>
  <si>
    <t>20"@ 215'</t>
  </si>
  <si>
    <t>13-3/8"@ 1273'</t>
  </si>
  <si>
    <t>9-5/8"@ 3585'</t>
  </si>
  <si>
    <t>11496-11670</t>
  </si>
  <si>
    <t xml:space="preserve">12500-12700,11450-11750, 3485-3685, 1144-1244, </t>
  </si>
  <si>
    <t>0902120009</t>
  </si>
  <si>
    <t>OG_455</t>
  </si>
  <si>
    <t>LADI #36-1</t>
  </si>
  <si>
    <t>26° 31' 31.82549" N</t>
  </si>
  <si>
    <t>81° 33' 47.20212" W</t>
  </si>
  <si>
    <t>860 FNL&amp;251 FWL Sec 31</t>
  </si>
  <si>
    <t>1320'FNL&amp;920'FEL Sec 36</t>
  </si>
  <si>
    <t>20"@ 232'</t>
  </si>
  <si>
    <t>13-3/8"@ 1372'</t>
  </si>
  <si>
    <t>9-5/8"@ 3676'</t>
  </si>
  <si>
    <t>7"@ 11857'</t>
  </si>
  <si>
    <t>2-7/8"@ 6300'</t>
  </si>
  <si>
    <t>11584-15600</t>
  </si>
  <si>
    <t>16 BOPD</t>
  </si>
  <si>
    <t>835 BWPD</t>
  </si>
  <si>
    <t>11588-11594</t>
  </si>
  <si>
    <t>11041-11593 (P# 954 kicked off from this well)</t>
  </si>
  <si>
    <t>0905120043</t>
  </si>
  <si>
    <t>SHL in Hendry county/ BHL in Lee county/ P# 954 kicked off from this wellbore</t>
  </si>
  <si>
    <t>OG_456</t>
  </si>
  <si>
    <t>LADI #14-3</t>
  </si>
  <si>
    <t>3S14 45S 27E</t>
  </si>
  <si>
    <t>26° 33' 57.71279" N</t>
  </si>
  <si>
    <t>81° 35' 35.14204" W</t>
  </si>
  <si>
    <t>1603'FNL&amp;1243'FWL</t>
  </si>
  <si>
    <t>1332'FSL&amp;1304'FWL</t>
  </si>
  <si>
    <t>0907120013</t>
  </si>
  <si>
    <t>OG_457</t>
  </si>
  <si>
    <t>RED CATTLE CO B #29-1</t>
  </si>
  <si>
    <t>1S29 45S 28E</t>
  </si>
  <si>
    <t>26° 32' 13.63934" N</t>
  </si>
  <si>
    <t>81° 32' 13.98563" W</t>
  </si>
  <si>
    <t>2001'FNL&amp;2035'FEL</t>
  </si>
  <si>
    <t>13-3/8"@ 1281'</t>
  </si>
  <si>
    <t>9-5/8"@ 3565'</t>
  </si>
  <si>
    <t>5-1/2"@ 11560'</t>
  </si>
  <si>
    <t>2-7/8"@ 5068'</t>
  </si>
  <si>
    <t>11444-11513</t>
  </si>
  <si>
    <t>732 BOPD</t>
  </si>
  <si>
    <t>40 MCF</t>
  </si>
  <si>
    <t>11441-11457</t>
  </si>
  <si>
    <t>9455-11478,539-1940, 4-120</t>
  </si>
  <si>
    <t>0905120028</t>
  </si>
  <si>
    <t>OG_458</t>
  </si>
  <si>
    <t>RED CATTLE CO B #29-2</t>
  </si>
  <si>
    <t>2S29 45S 28E</t>
  </si>
  <si>
    <t>26° 32' 12.84749" N</t>
  </si>
  <si>
    <t>81° 32' 37.85865" W</t>
  </si>
  <si>
    <t xml:space="preserve">2005'FNL&amp;1320'FWL </t>
  </si>
  <si>
    <t>13-3/8"@ 1270'</t>
  </si>
  <si>
    <t>5-1/2"@ 11550'</t>
  </si>
  <si>
    <t>2-7/8"@ 5057'</t>
  </si>
  <si>
    <t>11422-11492</t>
  </si>
  <si>
    <t>811 BOPD</t>
  </si>
  <si>
    <t>41 MCFPD</t>
  </si>
  <si>
    <t>3 BWPD</t>
  </si>
  <si>
    <t>11423-11440</t>
  </si>
  <si>
    <t>11440-11022,3307-3525, 1107-2006, 600-804, 164-368, 4-116</t>
  </si>
  <si>
    <t>0905120029</t>
  </si>
  <si>
    <t>OG_459</t>
  </si>
  <si>
    <t>CHARLES S PAYSON ETAL #1</t>
  </si>
  <si>
    <t>2S7 41S 27E</t>
  </si>
  <si>
    <t>26° 55' 36.50749" N</t>
  </si>
  <si>
    <t>81° 39' 32.37124" W</t>
  </si>
  <si>
    <t>1335'FNL&amp;1072'FEL</t>
  </si>
  <si>
    <t>9-5/8"@ 3590'</t>
  </si>
  <si>
    <t>11022-11097</t>
  </si>
  <si>
    <t>11250-10963,3690-3390,1520-1228,33-3</t>
  </si>
  <si>
    <t>0901520001</t>
  </si>
  <si>
    <t>OG_460</t>
  </si>
  <si>
    <t>LEHIGH-CONSOLIDATED #10-4</t>
  </si>
  <si>
    <t>4S10 45S 27E</t>
  </si>
  <si>
    <t>26° 33' 57.68338" N</t>
  </si>
  <si>
    <t>81° 35' 35.11734" W</t>
  </si>
  <si>
    <t>1603'FNL&amp;1243'FEL of Sec 14</t>
  </si>
  <si>
    <t>1333'FSL&amp;1401'FEL Sec10</t>
  </si>
  <si>
    <t>0907120014</t>
  </si>
  <si>
    <t>OG_461</t>
  </si>
  <si>
    <t>CFC #11-4</t>
  </si>
  <si>
    <t>4S11 45S 27E</t>
  </si>
  <si>
    <t>26° 33' 57.42338" N</t>
  </si>
  <si>
    <t>81° 35' 35.03904" W</t>
  </si>
  <si>
    <t>1637'FNL&amp;1251'FWL of Sec 14</t>
  </si>
  <si>
    <t>1329FSL&amp;1314FEL Sec 11</t>
  </si>
  <si>
    <t>0907120015</t>
  </si>
  <si>
    <t>OG_462</t>
  </si>
  <si>
    <t>ALDC C #5-1</t>
  </si>
  <si>
    <t>1S5 46S 28E</t>
  </si>
  <si>
    <t>26° 30' 41.17349" N</t>
  </si>
  <si>
    <t>81° 32' 1.04903" W</t>
  </si>
  <si>
    <t>660'FNL&amp;880'FEL</t>
  </si>
  <si>
    <t>13-3/8"@ 1098'</t>
  </si>
  <si>
    <t>7"@ 10687'</t>
  </si>
  <si>
    <t>4-1/2"@ 11660</t>
  </si>
  <si>
    <t>11449-11655</t>
  </si>
  <si>
    <t>38 BOPD</t>
  </si>
  <si>
    <t>689 BWPD</t>
  </si>
  <si>
    <t>11476-11479</t>
  </si>
  <si>
    <t>11586-11386,9000-8900,3700-3500,1000-900,25-4</t>
  </si>
  <si>
    <t>0902120010</t>
  </si>
  <si>
    <t>OG_463</t>
  </si>
  <si>
    <t>MCDAVID LANDS #37-1</t>
  </si>
  <si>
    <t>DIL CDN SNP PROXIMITY DIR</t>
  </si>
  <si>
    <t>1S37 6N 30W</t>
  </si>
  <si>
    <t>30° 59' 38.53296" N</t>
  </si>
  <si>
    <t>87° 11' 33.87795" W</t>
  </si>
  <si>
    <t>1398FStateLine&amp;????</t>
  </si>
  <si>
    <t>10-3/4"@3500</t>
  </si>
  <si>
    <t>7"@ 15642'</t>
  </si>
  <si>
    <t>2-7/8"@ 15173'</t>
  </si>
  <si>
    <t>15254-15578</t>
  </si>
  <si>
    <t>1807 BOPD</t>
  </si>
  <si>
    <t>2028 MCFPD</t>
  </si>
  <si>
    <t>15288-15308</t>
  </si>
  <si>
    <t>0903320004</t>
  </si>
  <si>
    <t>EPA ID # FLS0330005</t>
  </si>
  <si>
    <t>OG_464</t>
  </si>
  <si>
    <t>CFC #11-2</t>
  </si>
  <si>
    <t>2S11 45S 27E</t>
  </si>
  <si>
    <t>26° 35' 13.92371" N</t>
  </si>
  <si>
    <t>81° 35' 27.8065" W</t>
  </si>
  <si>
    <t xml:space="preserve">751'FSL&amp;2026'FWLSec 2 </t>
  </si>
  <si>
    <t xml:space="preserve">1330'FNL&amp;1327'FWLSec11 </t>
  </si>
  <si>
    <t>0907120016</t>
  </si>
  <si>
    <t>OG_465</t>
  </si>
  <si>
    <t>3S22 4S 22E</t>
  </si>
  <si>
    <t>30° 7' 48.38941" N</t>
  </si>
  <si>
    <t>82° 5' 47.56582" W</t>
  </si>
  <si>
    <t>16"@ 112'</t>
  </si>
  <si>
    <t>10-3/4"@ 360'</t>
  </si>
  <si>
    <t>7-5/8"@ 2750'</t>
  </si>
  <si>
    <t>1550-3150,20-0</t>
  </si>
  <si>
    <t>0900720001</t>
  </si>
  <si>
    <t>OG_466</t>
  </si>
  <si>
    <t>CANAL TIMBER CORP #1</t>
  </si>
  <si>
    <t>4S12 3S 6E</t>
  </si>
  <si>
    <t>30° 13' 56.21149" N</t>
  </si>
  <si>
    <t>83° 40' 42.29616" W</t>
  </si>
  <si>
    <t>660'FSL&amp;2180'FEL</t>
  </si>
  <si>
    <t>10-3/4"@ 1601'</t>
  </si>
  <si>
    <t>1701-1350,10 SX CMT @ TOP OF 20" CSG</t>
  </si>
  <si>
    <t>0912320001</t>
  </si>
  <si>
    <t>OG_467</t>
  </si>
  <si>
    <t>CFC #25-4</t>
  </si>
  <si>
    <t>26° 31' 30.44701" N</t>
  </si>
  <si>
    <t>81° 33' 47.17933" W</t>
  </si>
  <si>
    <t>1000' FNL&amp;250' FWL of Sec 31</t>
  </si>
  <si>
    <t>1306FSL&amp;1317FEL Sec 25</t>
  </si>
  <si>
    <t>0907120017</t>
  </si>
  <si>
    <t>OG_468</t>
  </si>
  <si>
    <t>3S17 2S 5E</t>
  </si>
  <si>
    <t>30° 18' 33.29971" N</t>
  </si>
  <si>
    <t>83° 50' 58.47389" W</t>
  </si>
  <si>
    <t>2083'FSL&amp;1980'FWL</t>
  </si>
  <si>
    <t>13-3/8"@ 90</t>
  </si>
  <si>
    <t>9-5/8"@218</t>
  </si>
  <si>
    <t>7-5/8"@ 1614</t>
  </si>
  <si>
    <t>1714-1500, 20-0</t>
  </si>
  <si>
    <t>0906520001</t>
  </si>
  <si>
    <t>OG_469</t>
  </si>
  <si>
    <t>SRPC #5-2</t>
  </si>
  <si>
    <t>DIL BHCS CNLDN PD DIR</t>
  </si>
  <si>
    <t>2S5 5N 29W</t>
  </si>
  <si>
    <t>30° 58' 34.25749" N</t>
  </si>
  <si>
    <t>87° 9' 10.55245" W</t>
  </si>
  <si>
    <t>1935'FNL&amp;660'FWL</t>
  </si>
  <si>
    <t>20"@ 100'</t>
  </si>
  <si>
    <t>10-3/4"@ 3858'</t>
  </si>
  <si>
    <t>7"@ 15915'</t>
  </si>
  <si>
    <t>3-1/2"@ 15425.75'</t>
  </si>
  <si>
    <t>15480-15653</t>
  </si>
  <si>
    <t>1656 BOPD</t>
  </si>
  <si>
    <t>1886 MCFPD</t>
  </si>
  <si>
    <t>15584-15664</t>
  </si>
  <si>
    <t>0911320010</t>
  </si>
  <si>
    <t>OG_470</t>
  </si>
  <si>
    <t>B.G.ADDISON ETAL #5-3</t>
  </si>
  <si>
    <t>DIL BHCS SNP GR CD DIR</t>
  </si>
  <si>
    <t>3S5 5N 29W</t>
  </si>
  <si>
    <t>30° 58' 15.0276" N</t>
  </si>
  <si>
    <t>87° 9' 11.0268" W</t>
  </si>
  <si>
    <t>1324'FSL&amp;660'FWL</t>
  </si>
  <si>
    <t>10-3/4"@3709</t>
  </si>
  <si>
    <t>7" @ 15845'</t>
  </si>
  <si>
    <t>4-1/2-3-1/2"@ 15286</t>
  </si>
  <si>
    <t>15433-15844</t>
  </si>
  <si>
    <t>1641 BOPD</t>
  </si>
  <si>
    <t>1680 MCFPD</t>
  </si>
  <si>
    <t>15574-15650</t>
  </si>
  <si>
    <t>0911320011</t>
  </si>
  <si>
    <t>EPA ID# FLS1130011</t>
  </si>
  <si>
    <t>OG_471</t>
  </si>
  <si>
    <t>SRPC #6-4</t>
  </si>
  <si>
    <t>DIL CNLDN CC DIR</t>
  </si>
  <si>
    <t>4S6 5N 29W</t>
  </si>
  <si>
    <t>30° 58' 15.27937" N</t>
  </si>
  <si>
    <t>87° 9' 38.26251" W</t>
  </si>
  <si>
    <t>1316'FSL&amp;1718'FEL</t>
  </si>
  <si>
    <t>10-3/4"@ 3683'</t>
  </si>
  <si>
    <t>7"@ 15694'</t>
  </si>
  <si>
    <t>3-1/2"@ 12698'</t>
  </si>
  <si>
    <t>15370-15694</t>
  </si>
  <si>
    <t>1176BOPD</t>
  </si>
  <si>
    <t>1281MCF</t>
  </si>
  <si>
    <t>1.26BWPD</t>
  </si>
  <si>
    <t>15606-626</t>
  </si>
  <si>
    <t>0911320012</t>
  </si>
  <si>
    <t>OG_472</t>
  </si>
  <si>
    <t>DIL BHCS GR DIP</t>
  </si>
  <si>
    <t>1S22 42S 26E</t>
  </si>
  <si>
    <t>26° 48' 37.62058" N</t>
  </si>
  <si>
    <t>81° 41' 57.74453" W</t>
  </si>
  <si>
    <t>1120'FNL&amp;1320'FEL</t>
  </si>
  <si>
    <t>20"@ 214'</t>
  </si>
  <si>
    <t>13-3/8"@ 1360'</t>
  </si>
  <si>
    <t>9-5/8"@ 3710'</t>
  </si>
  <si>
    <t>11184-11289</t>
  </si>
  <si>
    <t>11400-10930,3810-3510,50-0</t>
  </si>
  <si>
    <t>0901520002</t>
  </si>
  <si>
    <t>OG_473</t>
  </si>
  <si>
    <t>J B SWIFT ETAL #10-2</t>
  </si>
  <si>
    <t>DIL BHCS CDN GR DIR</t>
  </si>
  <si>
    <t>2S10 5N 29W</t>
  </si>
  <si>
    <t>30° 57' 49.4141" N</t>
  </si>
  <si>
    <t>87° 10' 2.92699" W</t>
  </si>
  <si>
    <t>1636'FNL&amp;1529'FWL</t>
  </si>
  <si>
    <t>16" @ 76'</t>
  </si>
  <si>
    <t>10-3/4"@ 3648'</t>
  </si>
  <si>
    <t>7"@ 15777</t>
  </si>
  <si>
    <t>3-1/2"@ 15264</t>
  </si>
  <si>
    <t>15360-15586</t>
  </si>
  <si>
    <t>960 BOPD</t>
  </si>
  <si>
    <t>1307 MCFPD</t>
  </si>
  <si>
    <t>15504-15528</t>
  </si>
  <si>
    <t>15303-15528 14250-15232 4628-5000 2892-3595 15-2100</t>
  </si>
  <si>
    <t>0911320013</t>
  </si>
  <si>
    <t>OG_474</t>
  </si>
  <si>
    <t>MCDAVID LANDS #37-2</t>
  </si>
  <si>
    <t>DIL BHCS GRN DIR</t>
  </si>
  <si>
    <t>2S37 6N 30W</t>
  </si>
  <si>
    <t>30° 59' 42.81753" N</t>
  </si>
  <si>
    <t>87° 12' 1.03055" W</t>
  </si>
  <si>
    <t>10-3/4"@3549</t>
  </si>
  <si>
    <t>7"@ 15813</t>
  </si>
  <si>
    <t>3-1/2"@ 14670</t>
  </si>
  <si>
    <t>15309-15762</t>
  </si>
  <si>
    <t>1326 BOPD</t>
  </si>
  <si>
    <t>1447 MCFPD</t>
  </si>
  <si>
    <t>13 BWPD</t>
  </si>
  <si>
    <t>15309-15391</t>
  </si>
  <si>
    <t>0903320005</t>
  </si>
  <si>
    <t>OG_475</t>
  </si>
  <si>
    <t>EOGC ETAL</t>
  </si>
  <si>
    <t>STATE LEASE 2448 #1</t>
  </si>
  <si>
    <t>1S9 41S 25E</t>
  </si>
  <si>
    <t>26° 55' 37.44721" N</t>
  </si>
  <si>
    <t>81° 48' 49.7844" W</t>
  </si>
  <si>
    <t>1428'FNL&amp;1418' FEL</t>
  </si>
  <si>
    <t>20"@ 209'</t>
  </si>
  <si>
    <t>13-3/8"@ 1355'</t>
  </si>
  <si>
    <t>9-5/8"@ 3660'</t>
  </si>
  <si>
    <t>11002-11805</t>
  </si>
  <si>
    <t>11250-10830,3760-3460,1480-1180,40-0</t>
  </si>
  <si>
    <t>0901520003</t>
  </si>
  <si>
    <t>OG_476</t>
  </si>
  <si>
    <t>SRPC #1</t>
  </si>
  <si>
    <t>DIL CNLDN</t>
  </si>
  <si>
    <t>2S28 5N 29W</t>
  </si>
  <si>
    <t>30° 55' 11.67622" N</t>
  </si>
  <si>
    <t>87° 7' 5.8625" W</t>
  </si>
  <si>
    <t>1320'FNL&amp;1320'FWL</t>
  </si>
  <si>
    <t>10-3/4"@ 3812'</t>
  </si>
  <si>
    <t>15983-16090</t>
  </si>
  <si>
    <t>15926-16478 3712-3912 0-30</t>
  </si>
  <si>
    <t>0911320014</t>
  </si>
  <si>
    <t>OG_477</t>
  </si>
  <si>
    <t>EARL BALL ETAL #1</t>
  </si>
  <si>
    <t>1S16 47S 28E</t>
  </si>
  <si>
    <t>26° 23' 31.04412" N</t>
  </si>
  <si>
    <t>81° 31' 8.58875" W</t>
  </si>
  <si>
    <t>1320'FNL&amp;1480'FEL</t>
  </si>
  <si>
    <t>9-5/8"@ 3675'</t>
  </si>
  <si>
    <t>5-1/2"@ 12050'</t>
  </si>
  <si>
    <t>11689-11898 CHIPS</t>
  </si>
  <si>
    <t>11484-11890</t>
  </si>
  <si>
    <t>8 BOPD</t>
  </si>
  <si>
    <t xml:space="preserve">TSTM </t>
  </si>
  <si>
    <t>11870-11913</t>
  </si>
  <si>
    <t>11570-11913 3500-3725 1155-1455 0-55</t>
  </si>
  <si>
    <t>0902120011</t>
  </si>
  <si>
    <t>OG_478</t>
  </si>
  <si>
    <t>RED CATTLE CO B #33-3A</t>
  </si>
  <si>
    <t>Dry Hole/SWD</t>
  </si>
  <si>
    <t>IEL DIL BHCS-GR DIR</t>
  </si>
  <si>
    <t>26° 31' 3.56111" N</t>
  </si>
  <si>
    <t>81° 31' 36.23816" W</t>
  </si>
  <si>
    <t>1550'FSL&amp;1325' FWL</t>
  </si>
  <si>
    <t>660FWL&amp;660FSL</t>
  </si>
  <si>
    <t>13-3/8"1380'</t>
  </si>
  <si>
    <t>9-5/8"@3570'</t>
  </si>
  <si>
    <t>5-1/2"@ 11629'</t>
  </si>
  <si>
    <t>2-7/8"@ 5066'</t>
  </si>
  <si>
    <t>11551-11593</t>
  </si>
  <si>
    <t>9 BOPD</t>
  </si>
  <si>
    <t>11548-11554</t>
  </si>
  <si>
    <t>11405-11555 9900-10110 3460- 3560 1986-0</t>
  </si>
  <si>
    <t>0905120009-01</t>
  </si>
  <si>
    <t>Sidetracked from P# 414 well bore</t>
  </si>
  <si>
    <t>OG_479</t>
  </si>
  <si>
    <t>SRPC #9-4</t>
  </si>
  <si>
    <t>DIL BHCS CNP DIR</t>
  </si>
  <si>
    <t>4S9 5N 29W</t>
  </si>
  <si>
    <t>30° 57' 25.5182" N</t>
  </si>
  <si>
    <t>87° 10' 32.89747" W</t>
  </si>
  <si>
    <t>1237'FSL&amp;1043'FEL</t>
  </si>
  <si>
    <t>16" @ 80'</t>
  </si>
  <si>
    <t>10-3/4"@ 3676'</t>
  </si>
  <si>
    <t>7" @ 15867'</t>
  </si>
  <si>
    <t>3-1/2"@ 15434</t>
  </si>
  <si>
    <t>15480-15863</t>
  </si>
  <si>
    <t>2160 BOPD</t>
  </si>
  <si>
    <t>2762 MCFPD</t>
  </si>
  <si>
    <t>15507-15593</t>
  </si>
  <si>
    <t>0911320015</t>
  </si>
  <si>
    <t>OG_480</t>
  </si>
  <si>
    <t>MCDAVID LANDS ETAL #33-1</t>
  </si>
  <si>
    <t>DIL BHCS CDN SNP MUD DIR BEFORE &amp; AFTER</t>
  </si>
  <si>
    <t>4S33 6N 29W</t>
  </si>
  <si>
    <t>30° 59' 4.53413" N</t>
  </si>
  <si>
    <t>87° 10' 0.60447" W</t>
  </si>
  <si>
    <t>16" @ 85'</t>
  </si>
  <si>
    <t>10-3/4"@ 3634'</t>
  </si>
  <si>
    <t>7" @ 15621</t>
  </si>
  <si>
    <t>3-1/2"@ 15147</t>
  </si>
  <si>
    <t>15200-15617</t>
  </si>
  <si>
    <t>1980 BOPD</t>
  </si>
  <si>
    <t>1800 MCFPD</t>
  </si>
  <si>
    <t>15216-15366</t>
  </si>
  <si>
    <t>0911320016</t>
  </si>
  <si>
    <t>EPA ID# FLS1130032</t>
  </si>
  <si>
    <t>480AH</t>
  </si>
  <si>
    <t>MCDAVID LANDS ETAL #33-1AH</t>
  </si>
  <si>
    <t>30° 59' 4.55477" N</t>
  </si>
  <si>
    <t>87° 10' 0.62196" W</t>
  </si>
  <si>
    <t>OG_481</t>
  </si>
  <si>
    <t>MCDAVID LANDS ETAL #7-2</t>
  </si>
  <si>
    <t>DIL BHCS CDN SNP</t>
  </si>
  <si>
    <t>2S7 5N 29W</t>
  </si>
  <si>
    <t>30° 58' 47.18714" N</t>
  </si>
  <si>
    <t>87° 10' 41.58491" W</t>
  </si>
  <si>
    <t>894'FNL&amp;3434'FWL</t>
  </si>
  <si>
    <t>10-3/4"@3510</t>
  </si>
  <si>
    <t>7" @ 15661</t>
  </si>
  <si>
    <t>3-1/2"@ 15146</t>
  </si>
  <si>
    <t>15233-15661</t>
  </si>
  <si>
    <t>1088 BOPD</t>
  </si>
  <si>
    <t>1196 MCFPD</t>
  </si>
  <si>
    <t>15405-15446</t>
  </si>
  <si>
    <t>15281-15527 14473-14765 8779-9027 6001-6304 3352-3700 1201-1794 19-123</t>
  </si>
  <si>
    <t>0911320017</t>
  </si>
  <si>
    <t>EPA ID# FLS1130013</t>
  </si>
  <si>
    <t>OG_482</t>
  </si>
  <si>
    <t>J W CANNON #40-11</t>
  </si>
  <si>
    <t>DIL BHCS CNLDN DIR</t>
  </si>
  <si>
    <t>4S40 5N 29W</t>
  </si>
  <si>
    <t>30° 57' 24.6789" N</t>
  </si>
  <si>
    <t>87° 8' 38.50016" W</t>
  </si>
  <si>
    <t xml:space="preserve">1510'FSL&amp;1675'FEL </t>
  </si>
  <si>
    <t>16" @ 78'</t>
  </si>
  <si>
    <t>10-3/4"@ 3865'</t>
  </si>
  <si>
    <t>7" @ 15899'</t>
  </si>
  <si>
    <t>3-1/2" @ 15363'</t>
  </si>
  <si>
    <t>15433-15831</t>
  </si>
  <si>
    <t>1104 BOPD</t>
  </si>
  <si>
    <t>1404 MCFPD</t>
  </si>
  <si>
    <t>15462-15536</t>
  </si>
  <si>
    <t>0911320018</t>
  </si>
  <si>
    <t>OG_483</t>
  </si>
  <si>
    <t>J.F.SHELL #20-1</t>
  </si>
  <si>
    <t>DIL CDN SN-GR DIR</t>
  </si>
  <si>
    <t>1S20 5N 29W</t>
  </si>
  <si>
    <t>30° 57' 6.6437" N</t>
  </si>
  <si>
    <t>87° 10' 31.25324" W</t>
  </si>
  <si>
    <t>660'FNL&amp;850'FEL</t>
  </si>
  <si>
    <t>16" @ 77'</t>
  </si>
  <si>
    <t>10-3/4"@3748</t>
  </si>
  <si>
    <t>7" @ 15993</t>
  </si>
  <si>
    <t>3-1/2"@ 15480</t>
  </si>
  <si>
    <t>15544-15993</t>
  </si>
  <si>
    <t>1988 BOPD</t>
  </si>
  <si>
    <t>2471 MCFPD</t>
  </si>
  <si>
    <t>15707-15750</t>
  </si>
  <si>
    <t>0-250, 1210-1612, 3065-3465, 5868-6170, 15330-15731</t>
  </si>
  <si>
    <t>0911320019</t>
  </si>
  <si>
    <t>EPA ID# FLS1130022</t>
  </si>
  <si>
    <t>OG_484</t>
  </si>
  <si>
    <t>MCDAVID LANDS #31-1</t>
  </si>
  <si>
    <t>DIL CNLDN GRN MUD CFD CNP DIR</t>
  </si>
  <si>
    <t>2S31 6N 29W</t>
  </si>
  <si>
    <t>30° 59' 46.96639" N</t>
  </si>
  <si>
    <t>87° 10' 42.48041" W</t>
  </si>
  <si>
    <t>488'FNL&amp;957'FWL</t>
  </si>
  <si>
    <t>232'FNL&amp;1015'FWL</t>
  </si>
  <si>
    <t>10-3/4"@3440</t>
  </si>
  <si>
    <t>7"@ 15547</t>
  </si>
  <si>
    <t>3-1/2"@ 15075</t>
  </si>
  <si>
    <t>NONE RECEIVED</t>
  </si>
  <si>
    <t>1950 BOPD</t>
  </si>
  <si>
    <t>2307 MCFPD</t>
  </si>
  <si>
    <t>15194-15254</t>
  </si>
  <si>
    <t>0903320006</t>
  </si>
  <si>
    <t>OG_485</t>
  </si>
  <si>
    <t>SEL</t>
  </si>
  <si>
    <t>F W SHERRILL ETAL #1</t>
  </si>
  <si>
    <t>DIL BHCS LL</t>
  </si>
  <si>
    <t>2S11 5N 33W</t>
  </si>
  <si>
    <t>30° 58' 19.53303" N</t>
  </si>
  <si>
    <t>87° 30' 55.63741" W</t>
  </si>
  <si>
    <t>1098'FNL&amp;1588'FWL</t>
  </si>
  <si>
    <t>10-3/4"@ 4100'</t>
  </si>
  <si>
    <t>7-5/8"@ 15459</t>
  </si>
  <si>
    <t>16535-16581</t>
  </si>
  <si>
    <t>16099-16327 15100-15850 3900-4300 0-25</t>
  </si>
  <si>
    <t>0903320007</t>
  </si>
  <si>
    <t>OG_486</t>
  </si>
  <si>
    <t>TURNER CORP #20-3</t>
  </si>
  <si>
    <t>3S20 45S 28E</t>
  </si>
  <si>
    <t>26° 32' 39.77232" N</t>
  </si>
  <si>
    <t>81° 32' 43.56515" W</t>
  </si>
  <si>
    <t>20" @ 212'</t>
  </si>
  <si>
    <t>13-3/8" @ 1387'</t>
  </si>
  <si>
    <t>9-5/8" @ 3603'</t>
  </si>
  <si>
    <t>7" @ 11725</t>
  </si>
  <si>
    <t>2-7/8" @ 6300'</t>
  </si>
  <si>
    <t>11463-502</t>
  </si>
  <si>
    <t>450 BOPD</t>
  </si>
  <si>
    <t>11472-11475</t>
  </si>
  <si>
    <t>11312-11523 3356-3581 1777-2105 530-1737 283-379 0-164</t>
  </si>
  <si>
    <t>0905120031</t>
  </si>
  <si>
    <t>OG_487</t>
  </si>
  <si>
    <t>CFC #13-2</t>
  </si>
  <si>
    <t>2S13 45S 27E</t>
  </si>
  <si>
    <t>26° 34' 11.18507" N</t>
  </si>
  <si>
    <t>81° 34' 46.19827" W</t>
  </si>
  <si>
    <t>374'FNL&amp;419'FWL</t>
  </si>
  <si>
    <t>1016'FNL&amp;1193'FWL</t>
  </si>
  <si>
    <t>13-3/8" @ 1376'</t>
  </si>
  <si>
    <t>9-5/8"@ 3594'</t>
  </si>
  <si>
    <t>7" @ 11800</t>
  </si>
  <si>
    <t>2-7/8" @ 5076'</t>
  </si>
  <si>
    <t>11574-11645</t>
  </si>
  <si>
    <t>240 BOPD</t>
  </si>
  <si>
    <t>0 MCFPD</t>
  </si>
  <si>
    <t>53 BWPD</t>
  </si>
  <si>
    <t>11559-11566</t>
  </si>
  <si>
    <t>11275-11700 3330-3805 1149-1940 545-910 0-180</t>
  </si>
  <si>
    <t>0907120018</t>
  </si>
  <si>
    <t>OG_488</t>
  </si>
  <si>
    <t>TRIBAL OIL CO</t>
  </si>
  <si>
    <t>DUDA &amp; SONS #1</t>
  </si>
  <si>
    <t>4S12 45S 28E</t>
  </si>
  <si>
    <t>26° 34' 34.52919" N</t>
  </si>
  <si>
    <t>81° 28' 18.36352" W</t>
  </si>
  <si>
    <t xml:space="preserve">1312'FSL&amp;1446'FEL </t>
  </si>
  <si>
    <t>20"@ 183'</t>
  </si>
  <si>
    <t>13-3/8" @ 1310'</t>
  </si>
  <si>
    <t>11398-11457</t>
  </si>
  <si>
    <t>11217-11517 3310-3610 1210-1410 0-50</t>
  </si>
  <si>
    <t>0905120032</t>
  </si>
  <si>
    <t>OG_489</t>
  </si>
  <si>
    <t>AMERADA HESS-MISS FLA CORP,EXXON</t>
  </si>
  <si>
    <t>RILEY C COADY &amp; L H FINDLEY #17-1</t>
  </si>
  <si>
    <t>DIL BHCS CNLDN MUD DIR</t>
  </si>
  <si>
    <t>2S17 5N 29W</t>
  </si>
  <si>
    <t>30° 57' 2.75202" N</t>
  </si>
  <si>
    <t>87° 8' 12.35779" W</t>
  </si>
  <si>
    <t xml:space="preserve">660'FNL&amp;660'FWL </t>
  </si>
  <si>
    <t>16" @ 79'</t>
  </si>
  <si>
    <t>10-3/4" @ 3838'</t>
  </si>
  <si>
    <t>7" @ 15952</t>
  </si>
  <si>
    <t>3-1/2" @ 15593'</t>
  </si>
  <si>
    <t>1944 BBLS</t>
  </si>
  <si>
    <t>2473 MCF</t>
  </si>
  <si>
    <t>15664-696, 15706-726</t>
  </si>
  <si>
    <t>15666-15728 14088-15283 5564-6302 3692-4252 1311-1811 10-120</t>
  </si>
  <si>
    <t>0911320022</t>
  </si>
  <si>
    <t>EPA ID# FLS1130019</t>
  </si>
  <si>
    <t>OG_490</t>
  </si>
  <si>
    <t>MCDAVID LANDS #1-1</t>
  </si>
  <si>
    <t>DIL BHCS CDN DIR</t>
  </si>
  <si>
    <t>1S1 5N 30W</t>
  </si>
  <si>
    <t>30° 58' 50.50782" N</t>
  </si>
  <si>
    <t>87° 11' 30.31313" W</t>
  </si>
  <si>
    <t xml:space="preserve">700'FNL&amp;815'FEL </t>
  </si>
  <si>
    <t>20"@ 131'</t>
  </si>
  <si>
    <t>10-3/4"@3520</t>
  </si>
  <si>
    <t>7" @ 15688</t>
  </si>
  <si>
    <t>3-1/2"@ 15160</t>
  </si>
  <si>
    <t>15286-15691</t>
  </si>
  <si>
    <t>1918 BBLS</t>
  </si>
  <si>
    <t>2098 MCF</t>
  </si>
  <si>
    <t>15272-15434</t>
  </si>
  <si>
    <t>15200 4 bbls 7685-7104</t>
  </si>
  <si>
    <t>0903320008</t>
  </si>
  <si>
    <t>OG_491</t>
  </si>
  <si>
    <t>SWD SYSTEM #1 WELL #1</t>
  </si>
  <si>
    <t>SWD SERVICE</t>
  </si>
  <si>
    <t>26° 31' 39.50461" N</t>
  </si>
  <si>
    <t>81° 32' 47.28293" W</t>
  </si>
  <si>
    <t xml:space="preserve">113'FNL&amp;396'FWL </t>
  </si>
  <si>
    <t>13-3/8"@ 235'</t>
  </si>
  <si>
    <t>9-5/8"@ 1644'</t>
  </si>
  <si>
    <t>4-1/2"@ 1575</t>
  </si>
  <si>
    <t>0-2050</t>
  </si>
  <si>
    <t>0905120033</t>
  </si>
  <si>
    <t>EPA permit # FLI0028/FLS0510008</t>
  </si>
  <si>
    <t>OG_492</t>
  </si>
  <si>
    <t>MCDAVID LANDS #2-2</t>
  </si>
  <si>
    <t>DIL BHCS CDN SNP DIP MUD</t>
  </si>
  <si>
    <t>2S2 5N 30W</t>
  </si>
  <si>
    <t>30° 58' 53.03433" N</t>
  </si>
  <si>
    <t>87° 12' 46.42578" W</t>
  </si>
  <si>
    <t>563'FNL&amp;1031'FWL</t>
  </si>
  <si>
    <t>660'FNL &amp; 1240'FWL</t>
  </si>
  <si>
    <t>9-5/8"@ 3548'</t>
  </si>
  <si>
    <t>7"@ 15904</t>
  </si>
  <si>
    <t>3-1/2"@ 15437</t>
  </si>
  <si>
    <t>15496-15907</t>
  </si>
  <si>
    <t>1590 BOPD</t>
  </si>
  <si>
    <t>1571 MCFPD</t>
  </si>
  <si>
    <t>32 BWPD</t>
  </si>
  <si>
    <t>15656-15497</t>
  </si>
  <si>
    <t>0903320009</t>
  </si>
  <si>
    <t>EPA ID# FLS0330001</t>
  </si>
  <si>
    <t>OG_493</t>
  </si>
  <si>
    <t>MCDAVID LANDS #30-1</t>
  </si>
  <si>
    <t>3S31 6N 29W</t>
  </si>
  <si>
    <t>30° 59' 45.35715" N</t>
  </si>
  <si>
    <t>87° 10' 41.96884" W</t>
  </si>
  <si>
    <t>200' N of McDavid Lands 31-1</t>
  </si>
  <si>
    <t>831'S&amp;2376' East of SHL</t>
  </si>
  <si>
    <t>16"@ 110'</t>
  </si>
  <si>
    <t>10-3/4"@3443</t>
  </si>
  <si>
    <t>7-5/8"@ 15306</t>
  </si>
  <si>
    <t>5-1/2"@ 15875'</t>
  </si>
  <si>
    <t>3-1/2"@ 15109</t>
  </si>
  <si>
    <t>15480-15876 CHIPS</t>
  </si>
  <si>
    <t>1869 BOPD</t>
  </si>
  <si>
    <t>2057 MCFPD</t>
  </si>
  <si>
    <t>56 BWPD</t>
  </si>
  <si>
    <t>15656-15776</t>
  </si>
  <si>
    <t>15500-15773 14439-14917 5963-6225 3085-3650 1363-1863 13-120</t>
  </si>
  <si>
    <t>0903320010</t>
  </si>
  <si>
    <t>OG_494</t>
  </si>
  <si>
    <t>MCDAVID LANDS ETAL #33-2</t>
  </si>
  <si>
    <t>3S7 5N 29W</t>
  </si>
  <si>
    <t>30° 58' 49.15011" N</t>
  </si>
  <si>
    <t>87° 10' 41.15737" W</t>
  </si>
  <si>
    <t>693'FNL&amp;3460'FWL of Sec 7</t>
  </si>
  <si>
    <t>660'FSL &amp; FEL</t>
  </si>
  <si>
    <t>16"@91'</t>
  </si>
  <si>
    <t>10-3/4"@3508</t>
  </si>
  <si>
    <t>7"@ 15282</t>
  </si>
  <si>
    <t>3-1/2"@ 14,979</t>
  </si>
  <si>
    <t>15555-15951</t>
  </si>
  <si>
    <t>1364 BbLS</t>
  </si>
  <si>
    <t>1512 MCF</t>
  </si>
  <si>
    <t>1.3 BbLS</t>
  </si>
  <si>
    <t>15726-15786</t>
  </si>
  <si>
    <t>15606-15698 14290-14790 6010-6210 1253-1753 0-100</t>
  </si>
  <si>
    <t>0911320023</t>
  </si>
  <si>
    <t>OG_495</t>
  </si>
  <si>
    <t>MCDAVID LANDS ETAL #33-3A</t>
  </si>
  <si>
    <t>DIL BHCS CNLDN GR TL DIR</t>
  </si>
  <si>
    <t>30° 58' 45.20303" N</t>
  </si>
  <si>
    <t>87° 10' 41.94365" W</t>
  </si>
  <si>
    <t xml:space="preserve">1094'FNL&amp;3408'FWL of Sec 7 </t>
  </si>
  <si>
    <t>660'FSL&amp;660'FEL of 33-3 unit</t>
  </si>
  <si>
    <t>20"@ 99'</t>
  </si>
  <si>
    <t>10-3/4"@5000</t>
  </si>
  <si>
    <t>7" @ 15983</t>
  </si>
  <si>
    <t>3-1/2"@ 15450</t>
  </si>
  <si>
    <t>15600-15983</t>
  </si>
  <si>
    <t>2.8 BWPD</t>
  </si>
  <si>
    <t>15866-15592</t>
  </si>
  <si>
    <t>0-200, 1161-1600, 4763-5202, 5574-5875, 14875-15300</t>
  </si>
  <si>
    <t>0911320024</t>
  </si>
  <si>
    <t>EPA ID# FLS1130077/FLI 0049</t>
  </si>
  <si>
    <t>OG_496</t>
  </si>
  <si>
    <t>MCDAVID LANDS ETAL #7-3</t>
  </si>
  <si>
    <t>DIL CDN GRN DIR</t>
  </si>
  <si>
    <t>30° 58' 37.47715" N</t>
  </si>
  <si>
    <t>87° 10' 48.2799" W</t>
  </si>
  <si>
    <t xml:space="preserve">1909'FNL&amp;2869'FWL </t>
  </si>
  <si>
    <t>10-3/4"@ 3524'</t>
  </si>
  <si>
    <t>7"@ 15819</t>
  </si>
  <si>
    <t>3-1/2"@ 15260</t>
  </si>
  <si>
    <t>15342-15848</t>
  </si>
  <si>
    <t>1554 BOPD</t>
  </si>
  <si>
    <t>1654 MCFPD</t>
  </si>
  <si>
    <t>15540-15480</t>
  </si>
  <si>
    <t>0911320025</t>
  </si>
  <si>
    <t>EPA ID# FLS1130014</t>
  </si>
  <si>
    <t>OG_497</t>
  </si>
  <si>
    <t>MIAMI OIL PRODUCERS INC ETAL</t>
  </si>
  <si>
    <t>ETHEL SHIVERS ETAL #1</t>
  </si>
  <si>
    <t>DIL BHCS CDN</t>
  </si>
  <si>
    <t>3S7 4N 29W</t>
  </si>
  <si>
    <t>30° 52' 14.44674" N</t>
  </si>
  <si>
    <t>87° 11' 13.66898" W</t>
  </si>
  <si>
    <t>1439'FSL&amp;1437' FWL</t>
  </si>
  <si>
    <t>10-3/4"@ 3915'</t>
  </si>
  <si>
    <t>16215-16335 CHIPS</t>
  </si>
  <si>
    <t>16175-16275 3875-3975 0-20</t>
  </si>
  <si>
    <t>0911320026</t>
  </si>
  <si>
    <t>OG_498</t>
  </si>
  <si>
    <t>MCDAVID LANDS #34-2</t>
  </si>
  <si>
    <t>DIL BHCS CNLDN DIP DIR</t>
  </si>
  <si>
    <t>3S33 6N 29W</t>
  </si>
  <si>
    <t>30° 59' 29.46952" N</t>
  </si>
  <si>
    <t>87° 9' 47.32086" W</t>
  </si>
  <si>
    <t xml:space="preserve">2872 F FL/AL Line&amp;2652 FEL </t>
  </si>
  <si>
    <t>16"@ 106'</t>
  </si>
  <si>
    <t>10-3/4"@ 3562'</t>
  </si>
  <si>
    <t>7"@ 15677</t>
  </si>
  <si>
    <t>3-1/2"@ 15098</t>
  </si>
  <si>
    <t>15243-15678</t>
  </si>
  <si>
    <t>1299 BOPD</t>
  </si>
  <si>
    <t>1313 MCFPD</t>
  </si>
  <si>
    <t>25 BWPD</t>
  </si>
  <si>
    <t>15217-15300</t>
  </si>
  <si>
    <t>0911320027</t>
  </si>
  <si>
    <t>EPA ID # FLS1130035</t>
  </si>
  <si>
    <t>OG_499</t>
  </si>
  <si>
    <t>LADI #14-1</t>
  </si>
  <si>
    <t>1S14 45S 27E</t>
  </si>
  <si>
    <t>26° 34' 1.61322" N</t>
  </si>
  <si>
    <t>81° 35' 5.32717" W</t>
  </si>
  <si>
    <t xml:space="preserve">1332'FNL&amp;1306'FEL </t>
  </si>
  <si>
    <t>0907120019</t>
  </si>
  <si>
    <t>OG_500</t>
  </si>
  <si>
    <t>PHILLIPS PETROLEUM CO</t>
  </si>
  <si>
    <t>GERRY A #1</t>
  </si>
  <si>
    <t>3S9 49S 31E</t>
  </si>
  <si>
    <t>26° 13' 41.37978" N</t>
  </si>
  <si>
    <t>81° 13' 56.73311" W</t>
  </si>
  <si>
    <t>1320'FSL&amp;1320' FWL</t>
  </si>
  <si>
    <t>13-3/8"@ 1404'</t>
  </si>
  <si>
    <t>9-5/8"@ 3900'</t>
  </si>
  <si>
    <t>5-1/2"@ 11486'</t>
  </si>
  <si>
    <t>11737-11747 11532-11542</t>
  </si>
  <si>
    <t>11324-11592 3775-4000 1288-1504 0-50</t>
  </si>
  <si>
    <t>0902120012</t>
  </si>
  <si>
    <t>OG_501</t>
  </si>
  <si>
    <t>H Q WILSON ETAL #1</t>
  </si>
  <si>
    <t>DIL BHCS CNLDN GRN</t>
  </si>
  <si>
    <t>4S17 5N 32W</t>
  </si>
  <si>
    <t>30° 56' 55.12456" N</t>
  </si>
  <si>
    <t>87° 27' 24.50273" W</t>
  </si>
  <si>
    <t>1562'FSL&amp;1112'FEL</t>
  </si>
  <si>
    <t>20"@ 75'</t>
  </si>
  <si>
    <t>10-3/4"@ 4058'</t>
  </si>
  <si>
    <t>7-5/8"@ 15580</t>
  </si>
  <si>
    <t>16571-16583 CHIPS</t>
  </si>
  <si>
    <t>14400-14500 3958-4208 0-20</t>
  </si>
  <si>
    <t>0903320011</t>
  </si>
  <si>
    <t>OG_502</t>
  </si>
  <si>
    <t>SWD SYSTEM #7 WELL #1</t>
  </si>
  <si>
    <t>DIL BHCS-GR SNP DIR</t>
  </si>
  <si>
    <t>2S34 5N 29W</t>
  </si>
  <si>
    <t>30° 54' 27.57913" N</t>
  </si>
  <si>
    <t>87° 10' 12.81715" W</t>
  </si>
  <si>
    <t xml:space="preserve">1100'FNL&amp;1050'FWL </t>
  </si>
  <si>
    <t>10-3/4" @ 3886'</t>
  </si>
  <si>
    <t>8-5/8"@ 5520'</t>
  </si>
  <si>
    <t>15868-16324</t>
  </si>
  <si>
    <t>10000-15853 5116-5460 1413-1723 5-55</t>
  </si>
  <si>
    <t>0911320028</t>
  </si>
  <si>
    <t>EPA ID# FLS1130071/FLI 0017</t>
  </si>
  <si>
    <t>OG_503</t>
  </si>
  <si>
    <t>SRPC #43-2</t>
  </si>
  <si>
    <t>4S43 5N 29W</t>
  </si>
  <si>
    <t>30° 57' 50.0832" N</t>
  </si>
  <si>
    <t>87° 10' 58.8828" W</t>
  </si>
  <si>
    <t>10-3/4"@ 3642</t>
  </si>
  <si>
    <t>7"@ 15775</t>
  </si>
  <si>
    <t>3-1/2"@ 15265</t>
  </si>
  <si>
    <t>15388-15784</t>
  </si>
  <si>
    <t>2236 BOPD</t>
  </si>
  <si>
    <t>2825 MCFPD</t>
  </si>
  <si>
    <t>15499-15547</t>
  </si>
  <si>
    <t>0911320029</t>
  </si>
  <si>
    <t>OG_504</t>
  </si>
  <si>
    <t>FINLEY HEIRS #39-3</t>
  </si>
  <si>
    <t>DIL BHCS CNLDN CD DIP</t>
  </si>
  <si>
    <t>3S39 5N 29W</t>
  </si>
  <si>
    <t>30° 58' 8.91512" N</t>
  </si>
  <si>
    <t>87° 6' 59.81057" W</t>
  </si>
  <si>
    <t>910'FSL&amp;1490' FWL</t>
  </si>
  <si>
    <t>10-3/4"@ 3821'</t>
  </si>
  <si>
    <t>7"@ 15372</t>
  </si>
  <si>
    <t>2-7/8"@ 14963'</t>
  </si>
  <si>
    <t>15082-15343</t>
  </si>
  <si>
    <t>1440 BOPD</t>
  </si>
  <si>
    <t>1195 MCFPD</t>
  </si>
  <si>
    <t>15260-15280</t>
  </si>
  <si>
    <t>14585-14885 831-1031 10-170</t>
  </si>
  <si>
    <t>0911320030</t>
  </si>
  <si>
    <t>Mount Carmel Field discovery well</t>
  </si>
  <si>
    <t>OG_505</t>
  </si>
  <si>
    <t>TRIBAL OIL CO INC</t>
  </si>
  <si>
    <t>CIRCLE BAR CATTLE #10-4</t>
  </si>
  <si>
    <t>4S10 44S 28E</t>
  </si>
  <si>
    <t>26° 39' 44.1649" N</t>
  </si>
  <si>
    <t>81° 30' 18.18001" W</t>
  </si>
  <si>
    <t xml:space="preserve">1368'FSL&amp;1298'FEL </t>
  </si>
  <si>
    <t>20"@ 195'</t>
  </si>
  <si>
    <t>13-3/8"@ 1353'</t>
  </si>
  <si>
    <t>9-5/8"@ 3748'</t>
  </si>
  <si>
    <t>5-1/2"@ 11427'</t>
  </si>
  <si>
    <t>2-7/8"@ 11378'</t>
  </si>
  <si>
    <t>11319-11425 CHIPS</t>
  </si>
  <si>
    <t>11340-11364</t>
  </si>
  <si>
    <t>12 BOPD</t>
  </si>
  <si>
    <t>119 BWPD</t>
  </si>
  <si>
    <t>11052-11352 6000-6100 3500-3600 0-50</t>
  </si>
  <si>
    <t>0905120034</t>
  </si>
  <si>
    <t>OG_506</t>
  </si>
  <si>
    <t>KERR-MCGEE CORP</t>
  </si>
  <si>
    <t>H W MIZELL #1</t>
  </si>
  <si>
    <t>3S35 7S 28E</t>
  </si>
  <si>
    <t>29° 50' 39.89285" N</t>
  </si>
  <si>
    <t>81° 27' 31.65016" W</t>
  </si>
  <si>
    <t>16"@ 296</t>
  </si>
  <si>
    <t>10-3/4"@ 1332</t>
  </si>
  <si>
    <t>7-5/8"@ 3015</t>
  </si>
  <si>
    <t>4580-4075,3150-2750</t>
  </si>
  <si>
    <t>0910920002</t>
  </si>
  <si>
    <t>OG_507</t>
  </si>
  <si>
    <t>F W SHERRILL #2</t>
  </si>
  <si>
    <t>DIL BHCS CNLDN LL3 LL9 GRN</t>
  </si>
  <si>
    <t>3S22 5N 33W</t>
  </si>
  <si>
    <t>30° 56' 5.36261" N</t>
  </si>
  <si>
    <t>87° 32' 3.56882" W</t>
  </si>
  <si>
    <t>1214'FSL&amp;1214'FWL</t>
  </si>
  <si>
    <t>16"@ 102'</t>
  </si>
  <si>
    <t>10-3/4"@ 4170'</t>
  </si>
  <si>
    <t>7-5/8"@ 15700</t>
  </si>
  <si>
    <t>16465-17050 15550-16100 3150-3400 4-34</t>
  </si>
  <si>
    <t>0903320012</t>
  </si>
  <si>
    <t>OG_508</t>
  </si>
  <si>
    <t>A E KELLY ETAL #7-4</t>
  </si>
  <si>
    <t>DIL BHCS CNLDN CC DIR</t>
  </si>
  <si>
    <t>4S7 5N 29W</t>
  </si>
  <si>
    <t>30° 58' 21.74882" N</t>
  </si>
  <si>
    <t>87° 10' 7.43654" W</t>
  </si>
  <si>
    <t xml:space="preserve">774'FSL&amp;1485'FEL </t>
  </si>
  <si>
    <t>16"@ 98'</t>
  </si>
  <si>
    <t>10-3/4"@ 3567'</t>
  </si>
  <si>
    <t>7"@ 15685</t>
  </si>
  <si>
    <t>3-1/2"@ 15213</t>
  </si>
  <si>
    <t>15325-15677</t>
  </si>
  <si>
    <t>2299 BOPD</t>
  </si>
  <si>
    <t>2296 MCFPD</t>
  </si>
  <si>
    <t>2.3 BWPD</t>
  </si>
  <si>
    <t>15323-15490</t>
  </si>
  <si>
    <t>6-100, 1175-1575, 3508-3817, 5745-6185, 13396-14725</t>
  </si>
  <si>
    <t>0911320031</t>
  </si>
  <si>
    <t>OG_509</t>
  </si>
  <si>
    <t>SRPC #6-1</t>
  </si>
  <si>
    <t>DIL BHCS CDN SNP GR TL CC DIR</t>
  </si>
  <si>
    <t>3S6 5N 29W</t>
  </si>
  <si>
    <t>30° 58' 36.28591" N</t>
  </si>
  <si>
    <t>87° 9' 39.91812" W</t>
  </si>
  <si>
    <t>786'FSL&amp;745'FWL</t>
  </si>
  <si>
    <t>20"@ 93'</t>
  </si>
  <si>
    <t>10-3/4"@ 3542'</t>
  </si>
  <si>
    <t>7"@ 15746</t>
  </si>
  <si>
    <t>3-1/2"@ 15127</t>
  </si>
  <si>
    <t>15345-15746</t>
  </si>
  <si>
    <t>1257 BOPD</t>
  </si>
  <si>
    <t>1948 MCFPD</t>
  </si>
  <si>
    <t>1.3 BWPD</t>
  </si>
  <si>
    <t>15344-15474</t>
  </si>
  <si>
    <t>0911320032</t>
  </si>
  <si>
    <t>OG_510</t>
  </si>
  <si>
    <t>M L BRAXTON #21-1</t>
  </si>
  <si>
    <t>DIL BHCS CNLDN CDN DIR</t>
  </si>
  <si>
    <t>1S21 5N 29W</t>
  </si>
  <si>
    <t>30° 56' 15.774" N</t>
  </si>
  <si>
    <t>87° 10' 30.0108" W</t>
  </si>
  <si>
    <t xml:space="preserve">660'FNL&amp;660'FEL </t>
  </si>
  <si>
    <t>9-5/8"@ 3829'</t>
  </si>
  <si>
    <t>7"@ 16082</t>
  </si>
  <si>
    <t>3-1/2"@ 15542.03</t>
  </si>
  <si>
    <t>15650-15850</t>
  </si>
  <si>
    <t>1747 BOPD</t>
  </si>
  <si>
    <t>1731 MCFPD</t>
  </si>
  <si>
    <t>15691-15728</t>
  </si>
  <si>
    <t>0911320033</t>
  </si>
  <si>
    <t>EPA ID# FLI1130081/EPA permit FLI0053</t>
  </si>
  <si>
    <t>OG_511</t>
  </si>
  <si>
    <t>SRPC #8-1</t>
  </si>
  <si>
    <t>DIL BHCS CNLDN GR DIR CCL</t>
  </si>
  <si>
    <t>30° 58' 7.27348" N</t>
  </si>
  <si>
    <t>87° 10' 56.14655" W</t>
  </si>
  <si>
    <t>1227'FNL&amp;2388'FWL</t>
  </si>
  <si>
    <t>10-3/4"@ 3628</t>
  </si>
  <si>
    <t>7"@ 15855</t>
  </si>
  <si>
    <t>3-1/2"@ 15318</t>
  </si>
  <si>
    <t>15481-15871</t>
  </si>
  <si>
    <t>1800 BOPD</t>
  </si>
  <si>
    <t>1585 MCFPD</t>
  </si>
  <si>
    <t>18 BWPD</t>
  </si>
  <si>
    <t>15508-15640</t>
  </si>
  <si>
    <t>0911320034</t>
  </si>
  <si>
    <t>EPA ID# FLS1130015</t>
  </si>
  <si>
    <t>OG_512</t>
  </si>
  <si>
    <t>WOLFE-THOMAS #40-6</t>
  </si>
  <si>
    <t>2S40 5N 29W</t>
  </si>
  <si>
    <t>30° 57' 42.34849" N</t>
  </si>
  <si>
    <t>87° 8' 41.96519" W</t>
  </si>
  <si>
    <t xml:space="preserve">1978'FNL&amp;1975'FWL </t>
  </si>
  <si>
    <t>10-3/4"@ 3923</t>
  </si>
  <si>
    <t>7"@ 15911</t>
  </si>
  <si>
    <t>3-1/2"@ 15395</t>
  </si>
  <si>
    <t>15492-15712</t>
  </si>
  <si>
    <t>1932 BOPD</t>
  </si>
  <si>
    <t>2457 MCF</t>
  </si>
  <si>
    <t>15470-15690</t>
  </si>
  <si>
    <t>0911320035</t>
  </si>
  <si>
    <t>OG_513</t>
  </si>
  <si>
    <t>AMERADA HESS-MISS FLA CORP</t>
  </si>
  <si>
    <t>FINDLEY-MAY #40-16</t>
  </si>
  <si>
    <t>30° 57' 22.8834" N</t>
  </si>
  <si>
    <t>87° 9' 11.68563" W</t>
  </si>
  <si>
    <t>1200'FSL&amp;660'FWL</t>
  </si>
  <si>
    <t>16"@ 90'</t>
  </si>
  <si>
    <t>10-3/4"@ 3934'</t>
  </si>
  <si>
    <t>7"@ 7933</t>
  </si>
  <si>
    <t>2-7/8"@ 7344'</t>
  </si>
  <si>
    <t>7601-7779</t>
  </si>
  <si>
    <t>16200-15200,8175-7925 7779-6881,5987-5805 4793-5060 3349-3996 1443-1739 5-68</t>
  </si>
  <si>
    <t>0911320036</t>
  </si>
  <si>
    <t>OG_514</t>
  </si>
  <si>
    <t>SHELL UNIT A #19-3</t>
  </si>
  <si>
    <t>DIL BHCS CNLDN</t>
  </si>
  <si>
    <t>3S19 5N 29W</t>
  </si>
  <si>
    <t>30° 56' 40.88342" N</t>
  </si>
  <si>
    <t>87° 9' 59.8801" W</t>
  </si>
  <si>
    <t>1906'FSL&amp;2006'FWL</t>
  </si>
  <si>
    <t>10-3/4"@ 3862'</t>
  </si>
  <si>
    <t>7" @ 15985</t>
  </si>
  <si>
    <t>3-1/2"@ 15465'</t>
  </si>
  <si>
    <t>15577-15979</t>
  </si>
  <si>
    <t>1428 BOPD</t>
  </si>
  <si>
    <t>2069 MCFPD</t>
  </si>
  <si>
    <t>15645-15665</t>
  </si>
  <si>
    <t>15200-15600 4189-4398 3700-4000 0-150</t>
  </si>
  <si>
    <t>0911320037</t>
  </si>
  <si>
    <t>OG_515</t>
  </si>
  <si>
    <t>SHELL UNIT #20-4</t>
  </si>
  <si>
    <t>4S20 5N 29W</t>
  </si>
  <si>
    <t>30° 56' 41.39071" N</t>
  </si>
  <si>
    <t>87° 10' 29.04853" W</t>
  </si>
  <si>
    <t>10-3/4"@ 3870'</t>
  </si>
  <si>
    <t>7"@ 16033</t>
  </si>
  <si>
    <t>3-1/2"@ 15477</t>
  </si>
  <si>
    <t>15607-16029</t>
  </si>
  <si>
    <t>1432 BOPD</t>
  </si>
  <si>
    <t>2053 MCFPD</t>
  </si>
  <si>
    <t>15684-15704</t>
  </si>
  <si>
    <t>15500-15810 3604-3990 3371-3600 1544-1697 5-90</t>
  </si>
  <si>
    <t>0911320038</t>
  </si>
  <si>
    <t>OG_516</t>
  </si>
  <si>
    <t>RED CATTLE B #19-4</t>
  </si>
  <si>
    <t>4S19 45S 28E</t>
  </si>
  <si>
    <t>26° 32' 40.29731" N</t>
  </si>
  <si>
    <t>81° 33' 3.43203" W</t>
  </si>
  <si>
    <t xml:space="preserve">660'FSL&amp;1140'FEL </t>
  </si>
  <si>
    <t>13-3/8"@ 1295'</t>
  </si>
  <si>
    <t>2-7/8"@ 5030'</t>
  </si>
  <si>
    <t>11455-11492</t>
  </si>
  <si>
    <t>622 BOPD</t>
  </si>
  <si>
    <t xml:space="preserve">45 MCFPD </t>
  </si>
  <si>
    <t>11454-11468</t>
  </si>
  <si>
    <t>11000-11550 3240-3510 1159-2064 541-950 5-202</t>
  </si>
  <si>
    <t>0905120035</t>
  </si>
  <si>
    <t>OG_517</t>
  </si>
  <si>
    <t>COLLIER CO #23-2</t>
  </si>
  <si>
    <t>2S23 46S 29E</t>
  </si>
  <si>
    <t>26° 28' 0.60382" N</t>
  </si>
  <si>
    <t>81° 23' 53.04735" W</t>
  </si>
  <si>
    <t xml:space="preserve">1350'FNL&amp;1328'FWL </t>
  </si>
  <si>
    <t>13-3/8"@ 1386'</t>
  </si>
  <si>
    <t>9-5/8"@ 3638'</t>
  </si>
  <si>
    <t>11578-11658</t>
  </si>
  <si>
    <t>11360-11660 3438-3738 1184-1484 3-53</t>
  </si>
  <si>
    <t>0902120013</t>
  </si>
  <si>
    <t>OG_518</t>
  </si>
  <si>
    <t>CHAMPLIN PETROLEUM CO</t>
  </si>
  <si>
    <t>USA &amp; STATE OF FLORIDA #1</t>
  </si>
  <si>
    <t>DIL BHCS CNLDN CDN CD</t>
  </si>
  <si>
    <t>4S28 5N 25W</t>
  </si>
  <si>
    <t>30° 54' 8.47601" N</t>
  </si>
  <si>
    <t>86° 44' 34.9474" W</t>
  </si>
  <si>
    <t>920'FSL&amp;1320'FEL</t>
  </si>
  <si>
    <t>10-3/4"@ 3606</t>
  </si>
  <si>
    <t>14274-14319</t>
  </si>
  <si>
    <t>14075-14600 10700-10800 6100-6200 3510-3810 3370-3470 4-29</t>
  </si>
  <si>
    <t>0909120001</t>
  </si>
  <si>
    <t>OG_519</t>
  </si>
  <si>
    <t>BRADY BELCHER ETAL #1</t>
  </si>
  <si>
    <t>DIL CDN DIP</t>
  </si>
  <si>
    <t>2S9 3N 21W</t>
  </si>
  <si>
    <t>30° 46' 38.28266" N</t>
  </si>
  <si>
    <t>86° 21' 10.18915" W</t>
  </si>
  <si>
    <t xml:space="preserve">1320'FNL&amp;1645'FWL </t>
  </si>
  <si>
    <t>10-3/4"@ 3103</t>
  </si>
  <si>
    <t>3050-???? 4-100</t>
  </si>
  <si>
    <t>0913120001</t>
  </si>
  <si>
    <t>OG_520</t>
  </si>
  <si>
    <t>HUGHES ENTERPRISES</t>
  </si>
  <si>
    <t>NATHANIEL H HUNTER #1</t>
  </si>
  <si>
    <t>1S33 43S 26E</t>
  </si>
  <si>
    <t>26° 41' 23.635" N</t>
  </si>
  <si>
    <t>81° 43' 25.01458" W</t>
  </si>
  <si>
    <t>1577'FSL&amp;1577'FWL</t>
  </si>
  <si>
    <t>20"@ 231'</t>
  </si>
  <si>
    <t>13-3/8"@ 1263'</t>
  </si>
  <si>
    <t>112800-11630 3368-3668 0-50</t>
  </si>
  <si>
    <t>0907120020</t>
  </si>
  <si>
    <t>OG_521</t>
  </si>
  <si>
    <t>C.H.BRAY ETUX #10-1</t>
  </si>
  <si>
    <t>1S10 5N 29W</t>
  </si>
  <si>
    <t>30° 57' 47.02067" N</t>
  </si>
  <si>
    <t>87° 9' 32.08826" W</t>
  </si>
  <si>
    <t xml:space="preserve">1575'FNL&amp;1126'FEL </t>
  </si>
  <si>
    <t>10-3/4"@ 3716</t>
  </si>
  <si>
    <t>7"@ 15753</t>
  </si>
  <si>
    <t>15328-15739</t>
  </si>
  <si>
    <t>1254 BOPD</t>
  </si>
  <si>
    <t>1305 MCFPD</t>
  </si>
  <si>
    <t>7.5 BWPD</t>
  </si>
  <si>
    <t>15589-15609</t>
  </si>
  <si>
    <t>15550-15425</t>
  </si>
  <si>
    <t>0911320039</t>
  </si>
  <si>
    <t>EPA ID# FLS1130016</t>
  </si>
  <si>
    <t>OG_522</t>
  </si>
  <si>
    <t>ROSIE L KERSEY #10-3</t>
  </si>
  <si>
    <t>DIL BHCS CDN SNP GR DIR</t>
  </si>
  <si>
    <t>3S10 5N 29W</t>
  </si>
  <si>
    <t>30° 57' 29.41081" N</t>
  </si>
  <si>
    <t>87° 9' 59.54351" W</t>
  </si>
  <si>
    <t>1742'FSL&amp;1851'FWL</t>
  </si>
  <si>
    <t>10-3/4"@ 3678</t>
  </si>
  <si>
    <t>7"@ 15802</t>
  </si>
  <si>
    <t>3-1/2"@ 15298</t>
  </si>
  <si>
    <t>15408-15805</t>
  </si>
  <si>
    <t>1602 BOPD</t>
  </si>
  <si>
    <t>1614 MCF</t>
  </si>
  <si>
    <t>15586-15646</t>
  </si>
  <si>
    <t>0911320040</t>
  </si>
  <si>
    <t>EPA ID# FLS1130017</t>
  </si>
  <si>
    <t>OG_523</t>
  </si>
  <si>
    <t>BLACKJACK CREEK</t>
  </si>
  <si>
    <t>SRPC #13-3</t>
  </si>
  <si>
    <t>3S13 4N 29W</t>
  </si>
  <si>
    <t>30° 51' 16.19867" N</t>
  </si>
  <si>
    <t>87° 6' 9.35038" W</t>
  </si>
  <si>
    <t xml:space="preserve">1601'FSL&amp;1600'FWL </t>
  </si>
  <si>
    <t>1600 FSL 1600 FSL S13 4N 29W</t>
  </si>
  <si>
    <t>20" 80'</t>
  </si>
  <si>
    <t>10-3/4" 4242'</t>
  </si>
  <si>
    <t>7" 16245'</t>
  </si>
  <si>
    <t>3-1/2"@ 15770</t>
  </si>
  <si>
    <t>15875-16213</t>
  </si>
  <si>
    <t>1379 BOPD</t>
  </si>
  <si>
    <t>1183 MCFPD</t>
  </si>
  <si>
    <t>2 BSWPD</t>
  </si>
  <si>
    <t>15790-15900</t>
  </si>
  <si>
    <t>16044-16235</t>
  </si>
  <si>
    <t>0911320041</t>
  </si>
  <si>
    <t>Blackjack Creek Field discovery well</t>
  </si>
  <si>
    <t>523A</t>
  </si>
  <si>
    <t>PETRO OPERATING COMPANY</t>
  </si>
  <si>
    <t>SRPC #13-3A</t>
  </si>
  <si>
    <t>INJ/P&amp;A</t>
  </si>
  <si>
    <t>INJECTION</t>
  </si>
  <si>
    <t>INJECTION PROFILE</t>
  </si>
  <si>
    <t>1600 FSL 1600 FWL</t>
  </si>
  <si>
    <t>7"@ 16235'</t>
  </si>
  <si>
    <t>3-1/2"@ 15577</t>
  </si>
  <si>
    <t>15335-15900</t>
  </si>
  <si>
    <t>EPA ID# FLS1130055/EPA permit # FLI0029</t>
  </si>
  <si>
    <t>OG_524</t>
  </si>
  <si>
    <t>TURNER CORP #14-4</t>
  </si>
  <si>
    <t>4S14 46S 28E</t>
  </si>
  <si>
    <t>26° 28' 19.06586" N</t>
  </si>
  <si>
    <t>81° 29' 10.67528" W</t>
  </si>
  <si>
    <t xml:space="preserve">946'FSL&amp;1325'FEL </t>
  </si>
  <si>
    <t>20"@ 190'</t>
  </si>
  <si>
    <t>13-3/8"@ 1291'</t>
  </si>
  <si>
    <t>9-5/8"@ 3580'</t>
  </si>
  <si>
    <t>11710-11770</t>
  </si>
  <si>
    <t>11270-11770 3480-3680 1159-1259 0-?</t>
  </si>
  <si>
    <t>0902120014</t>
  </si>
  <si>
    <t>OG_525</t>
  </si>
  <si>
    <t>SAM WATSON ETUX #23-4</t>
  </si>
  <si>
    <t>4S23 5N 29W</t>
  </si>
  <si>
    <t>30° 55' 43.69716" N</t>
  </si>
  <si>
    <t>87° 8' 43.74777" W</t>
  </si>
  <si>
    <t>1680'FSL&amp;1980'FEL</t>
  </si>
  <si>
    <t>10-3/4" @ 3701</t>
  </si>
  <si>
    <t>7" @ 15995</t>
  </si>
  <si>
    <t>3-1/2"@ 15408'</t>
  </si>
  <si>
    <t>15580-15983</t>
  </si>
  <si>
    <t>1608 BOPD</t>
  </si>
  <si>
    <t>1693 MCFPD</t>
  </si>
  <si>
    <t>6 BWPD</t>
  </si>
  <si>
    <t>15583-15714</t>
  </si>
  <si>
    <t>0911320042</t>
  </si>
  <si>
    <t>OG_526</t>
  </si>
  <si>
    <t>HIGDON UNIT #19-4</t>
  </si>
  <si>
    <t>4S19 5N 29W</t>
  </si>
  <si>
    <t>30° 56' 39.26991" N</t>
  </si>
  <si>
    <t>87° 9' 28.05886" W</t>
  </si>
  <si>
    <t>1904'FSL&amp;660'FEL</t>
  </si>
  <si>
    <t>20" @ 80</t>
  </si>
  <si>
    <t>10-3/4" @ 3748</t>
  </si>
  <si>
    <t>7" @ 15910</t>
  </si>
  <si>
    <t>3-1/2"@ 15413'</t>
  </si>
  <si>
    <t>15495-15910</t>
  </si>
  <si>
    <t>1208 BOPD</t>
  </si>
  <si>
    <t>1621 MCFPD</t>
  </si>
  <si>
    <t>15583-15601</t>
  </si>
  <si>
    <t>15307-15680 3307-3817 1450-1700 504-1004 0-50</t>
  </si>
  <si>
    <t>0911320043</t>
  </si>
  <si>
    <t>OG_527</t>
  </si>
  <si>
    <t>LADI #2-1</t>
  </si>
  <si>
    <t>1S2 45S 26E</t>
  </si>
  <si>
    <t>26° 35' 46.37684" N</t>
  </si>
  <si>
    <t>81° 40' 52.78588" W</t>
  </si>
  <si>
    <t xml:space="preserve">1000'FNL&amp;1056'FEL </t>
  </si>
  <si>
    <t>13-3/8"@ 1388'</t>
  </si>
  <si>
    <t>9-5/8"@ 3317'</t>
  </si>
  <si>
    <t>11435-11712</t>
  </si>
  <si>
    <t>11350-11710 3250-??? 10-250</t>
  </si>
  <si>
    <t>0907120021</t>
  </si>
  <si>
    <t>OG_528</t>
  </si>
  <si>
    <t>TRMMCI ETAL #35-3</t>
  </si>
  <si>
    <t>3S35 6N 30W</t>
  </si>
  <si>
    <t>30° 59' 16.90812" N</t>
  </si>
  <si>
    <t>87° 12' 43.64367" W</t>
  </si>
  <si>
    <t>3458'FNL&amp;1155'FEL</t>
  </si>
  <si>
    <t>10-3/4"@ 3573'</t>
  </si>
  <si>
    <t>7"@ 15822</t>
  </si>
  <si>
    <t>3-1/2"@ 15303'</t>
  </si>
  <si>
    <t>15371-15815</t>
  </si>
  <si>
    <t>1236 BOPD</t>
  </si>
  <si>
    <t>1538 MCFPD</t>
  </si>
  <si>
    <t>15376-15429</t>
  </si>
  <si>
    <t>15158-15479 4183-4442 2488-3410 987-1775 20-175</t>
  </si>
  <si>
    <t>0903320013</t>
  </si>
  <si>
    <t>Note: P# 528A withdrawn November 2007</t>
  </si>
  <si>
    <t>OG_529</t>
  </si>
  <si>
    <t>A DUDA &amp; SON #2</t>
  </si>
  <si>
    <t>3S11 45S 28E</t>
  </si>
  <si>
    <t>26° 34' 32.0917" N</t>
  </si>
  <si>
    <t>81° 29' 45.2587" W</t>
  </si>
  <si>
    <t xml:space="preserve">1283'FSL&amp;1316'FWL </t>
  </si>
  <si>
    <t>20"@ 193'</t>
  </si>
  <si>
    <t>13-3/8"@ 1300'</t>
  </si>
  <si>
    <t>9-5/8"@ 3543'</t>
  </si>
  <si>
    <t>11376-11400</t>
  </si>
  <si>
    <t>10900-11400 3400-3700 0-50</t>
  </si>
  <si>
    <t>0905120036</t>
  </si>
  <si>
    <t>529A</t>
  </si>
  <si>
    <t>A DUDA &amp; SON #11-3</t>
  </si>
  <si>
    <t>OG_530</t>
  </si>
  <si>
    <t>MARTHA SUNDAY ETAL #33-1</t>
  </si>
  <si>
    <t>1S33 6N 30W</t>
  </si>
  <si>
    <t>30° 59' 32.79437" N</t>
  </si>
  <si>
    <t>87° 14' 7.73776" W</t>
  </si>
  <si>
    <t xml:space="preserve">1614'FNL&amp;686'FEL </t>
  </si>
  <si>
    <t>16"@ 108'</t>
  </si>
  <si>
    <t>10-3/4"@ 3570'</t>
  </si>
  <si>
    <t>15480-15844</t>
  </si>
  <si>
    <t xml:space="preserve">15260-15802 11635-12200 3400-3700 30-80 </t>
  </si>
  <si>
    <t>0903320014</t>
  </si>
  <si>
    <t>OG_531</t>
  </si>
  <si>
    <t>BLACKMAN-THOMAS #41-2</t>
  </si>
  <si>
    <t>4S41 5N 29W</t>
  </si>
  <si>
    <t>30° 56' 51.06617" N</t>
  </si>
  <si>
    <t>87° 8' 40.97361" W</t>
  </si>
  <si>
    <t>10-3/4"@ 3880'</t>
  </si>
  <si>
    <t>7"@ 15944'</t>
  </si>
  <si>
    <t>3-1/2"@ 15478'</t>
  </si>
  <si>
    <t>276 BBLS</t>
  </si>
  <si>
    <t>304 MCF</t>
  </si>
  <si>
    <t>22 BBLS</t>
  </si>
  <si>
    <t>15536-15562</t>
  </si>
  <si>
    <t>15202-15618 15172-14982 3581-3796 1435-900,50-4</t>
  </si>
  <si>
    <t>0911320044</t>
  </si>
  <si>
    <t>OG_532</t>
  </si>
  <si>
    <t>CFC #20-2</t>
  </si>
  <si>
    <t>2S20 44S 27E</t>
  </si>
  <si>
    <t>26° 38' 17.39875" N</t>
  </si>
  <si>
    <t>81° 38' 34.46747" W</t>
  </si>
  <si>
    <t>1667'FNL&amp;1152'FWL</t>
  </si>
  <si>
    <t>20"@ 250'</t>
  </si>
  <si>
    <t>13-3/8" @1325'</t>
  </si>
  <si>
    <t>9-5/8"@ 3593'</t>
  </si>
  <si>
    <t>11250-11640 ???-3533 10-200</t>
  </si>
  <si>
    <t>0907120022</t>
  </si>
  <si>
    <t>OG_533</t>
  </si>
  <si>
    <t>FINLAY HEIRS #39-4</t>
  </si>
  <si>
    <t>30° 58' 13.73142" N</t>
  </si>
  <si>
    <t>87° 6' 37.64722" W</t>
  </si>
  <si>
    <t>1447'FSL&amp; 2231FWL</t>
  </si>
  <si>
    <t>16"@ 105'</t>
  </si>
  <si>
    <t>10-3/4"@ 3837'</t>
  </si>
  <si>
    <t>4 1/2 @ 6864</t>
  </si>
  <si>
    <t>15365-15685</t>
  </si>
  <si>
    <t>15120-15350 11327-11700 3586-3950 5-50</t>
  </si>
  <si>
    <t>0911320045</t>
  </si>
  <si>
    <t>Converted to disposal well in 1977/ EPA Permit # FLI 0002</t>
  </si>
  <si>
    <t>OG_534</t>
  </si>
  <si>
    <t>SRPC B #1</t>
  </si>
  <si>
    <t>3S21 2N 26W</t>
  </si>
  <si>
    <t>30° 39' 58.57891" N</t>
  </si>
  <si>
    <t>86° 50' 51.2016" W</t>
  </si>
  <si>
    <t xml:space="preserve">1516'FNL&amp;1320'FEL </t>
  </si>
  <si>
    <t>10-3/4"@ 3899'</t>
  </si>
  <si>
    <t>15835-15956</t>
  </si>
  <si>
    <t>15891-15997</t>
  </si>
  <si>
    <t>15837-15851 14912-15412 3847-4192 3229-3429 0-50</t>
  </si>
  <si>
    <t>0911320046</t>
  </si>
  <si>
    <t>OG_535</t>
  </si>
  <si>
    <t>CARL THOMPSON #20-2</t>
  </si>
  <si>
    <t>2S20 5N 29W</t>
  </si>
  <si>
    <t>30° 57' 7.80635" N</t>
  </si>
  <si>
    <t>87° 11' 2.1021" W</t>
  </si>
  <si>
    <t>669'FNL&amp;1838'FWL</t>
  </si>
  <si>
    <t>10-3/4" @ 3727</t>
  </si>
  <si>
    <t>7" @ 15918</t>
  </si>
  <si>
    <t>3-1/2" @ 14365</t>
  </si>
  <si>
    <t>15554-15919</t>
  </si>
  <si>
    <t>1383 BOPD</t>
  </si>
  <si>
    <t>1678 MCF</t>
  </si>
  <si>
    <t>422 BWPD</t>
  </si>
  <si>
    <t>15572-15817</t>
  </si>
  <si>
    <t>0911320047</t>
  </si>
  <si>
    <t>OG_536</t>
  </si>
  <si>
    <t>CHEVRON OIL CO</t>
  </si>
  <si>
    <t>CONTAINER CORP OF AMERICA-E W PECK #1</t>
  </si>
  <si>
    <t>2S7 8S 21E</t>
  </si>
  <si>
    <t>29° 49' 0.86713" N</t>
  </si>
  <si>
    <t>82° 14' 40.61538" W</t>
  </si>
  <si>
    <t>657'FNL&amp;660'FWL</t>
  </si>
  <si>
    <t>13-3/8"@ 123'</t>
  </si>
  <si>
    <t>9-5/8"@ 1787'</t>
  </si>
  <si>
    <t>7-5/8"@ 2258</t>
  </si>
  <si>
    <t>2607-2711</t>
  </si>
  <si>
    <t>1793-2271</t>
  </si>
  <si>
    <t>2110-2370 60-10</t>
  </si>
  <si>
    <t>0900120001</t>
  </si>
  <si>
    <t>OG_537</t>
  </si>
  <si>
    <t>J D BRAY #19-1</t>
  </si>
  <si>
    <t>DIL BHCS CDN SNP GR CC DIP</t>
  </si>
  <si>
    <t>1S19 5N 29W</t>
  </si>
  <si>
    <t>30° 57' 2.59413" N</t>
  </si>
  <si>
    <t>87° 9' 27.7399" W</t>
  </si>
  <si>
    <t xml:space="preserve">860'FNL&amp;660'FEL </t>
  </si>
  <si>
    <t>7"@ 15955'</t>
  </si>
  <si>
    <t>3-1/2"@ 15500'</t>
  </si>
  <si>
    <t>15410-15947</t>
  </si>
  <si>
    <t>1152 BOPD</t>
  </si>
  <si>
    <t>972 MCFPD</t>
  </si>
  <si>
    <t>15640-15700</t>
  </si>
  <si>
    <t>14824-15800 13218-14042 5902-6169 3293-3885 1156-1885 9-135</t>
  </si>
  <si>
    <t>0911320048</t>
  </si>
  <si>
    <t>OG_538</t>
  </si>
  <si>
    <t>HAWTHORNE UNIT #22-4</t>
  </si>
  <si>
    <t>4S22 5N 29W</t>
  </si>
  <si>
    <t>30° 55' 48.74234" N</t>
  </si>
  <si>
    <t>87° 9' 33.78023" W</t>
  </si>
  <si>
    <t xml:space="preserve">1959'FSL&amp;1060'FEL </t>
  </si>
  <si>
    <t>10-3/4"@ 3791'</t>
  </si>
  <si>
    <t>7"@ 15817'</t>
  </si>
  <si>
    <t>3-1/2"@ 15467'</t>
  </si>
  <si>
    <t>15615-15817</t>
  </si>
  <si>
    <t>1679 BOPD</t>
  </si>
  <si>
    <t>2320 MCFPD</t>
  </si>
  <si>
    <t>15669-15697</t>
  </si>
  <si>
    <t>14983-15590 14290-14981 4705-4950 3400-3735 10-2000</t>
  </si>
  <si>
    <t>0911320049</t>
  </si>
  <si>
    <t>OG_539</t>
  </si>
  <si>
    <t>ATLANTIC RICHFIELD CO</t>
  </si>
  <si>
    <t>BRONSON INC #1</t>
  </si>
  <si>
    <t>DIL BHCS MUD</t>
  </si>
  <si>
    <t>4S3 29S 31E</t>
  </si>
  <si>
    <t>27° 59' 9.5435" N</t>
  </si>
  <si>
    <t>81° 12' 10.48803" W</t>
  </si>
  <si>
    <t>1320'FSL&amp;1320'FEL</t>
  </si>
  <si>
    <t>30" 118' &amp; 20" 414</t>
  </si>
  <si>
    <t>13-3/8" 1095'</t>
  </si>
  <si>
    <t>9-5/8" 2920'</t>
  </si>
  <si>
    <t>5948-6048 2710-2971</t>
  </si>
  <si>
    <t>0909720001</t>
  </si>
  <si>
    <t>OG_540</t>
  </si>
  <si>
    <t>JESSE E MOORE #19-2</t>
  </si>
  <si>
    <t>DIL BHCS CNLDN GR DIR</t>
  </si>
  <si>
    <t>2S19 5N 29W</t>
  </si>
  <si>
    <t>30° 56' 54.85132" N</t>
  </si>
  <si>
    <t>87° 10' 1.10678" W</t>
  </si>
  <si>
    <t xml:space="preserve">1752'FNL&amp;1817'FWL </t>
  </si>
  <si>
    <t>10-3/4"@ 3709'</t>
  </si>
  <si>
    <t>7"@ 15947'</t>
  </si>
  <si>
    <t>3-1/2"@ 15454'</t>
  </si>
  <si>
    <t>15500-15948</t>
  </si>
  <si>
    <t>1365 BOPD</t>
  </si>
  <si>
    <t>1374 MCF</t>
  </si>
  <si>
    <t>15683-15719</t>
  </si>
  <si>
    <t>0911320050</t>
  </si>
  <si>
    <t>OG_541</t>
  </si>
  <si>
    <t>SRPC #39-1</t>
  </si>
  <si>
    <t>1S39 5N 30W</t>
  </si>
  <si>
    <t>30° 57' 48.87353" N</t>
  </si>
  <si>
    <t>87° 11' 31.89663" W</t>
  </si>
  <si>
    <t>3382'FSL&amp; 839;FEL</t>
  </si>
  <si>
    <t>20" @ 100</t>
  </si>
  <si>
    <t>10-3/4"@ 3678'</t>
  </si>
  <si>
    <t>7"@ 15805'</t>
  </si>
  <si>
    <t>3-1/2"@ 15450'</t>
  </si>
  <si>
    <t>15433-15803</t>
  </si>
  <si>
    <t>1620 BOPD</t>
  </si>
  <si>
    <t>1641 MCFPD</t>
  </si>
  <si>
    <t>15473-15618</t>
  </si>
  <si>
    <t>0911320051</t>
  </si>
  <si>
    <t>EPA ID # FLS1130036</t>
  </si>
  <si>
    <t>OG_542</t>
  </si>
  <si>
    <t>LADI #30-3</t>
  </si>
  <si>
    <t>3S30 44S 26E</t>
  </si>
  <si>
    <t>26° 36' 59.04832" N</t>
  </si>
  <si>
    <t>81° 45' 15.11219" W</t>
  </si>
  <si>
    <t xml:space="preserve">1245'FSL&amp;1603'FWL </t>
  </si>
  <si>
    <t>0907120023</t>
  </si>
  <si>
    <t>OG_543</t>
  </si>
  <si>
    <t>BRONSON INC #2</t>
  </si>
  <si>
    <t>DIL BHCS LITH</t>
  </si>
  <si>
    <t>3S24 27S 29E</t>
  </si>
  <si>
    <t>28° 7' 7.67143" N</t>
  </si>
  <si>
    <t>81° 22' 11.68766" W</t>
  </si>
  <si>
    <t>1334'FSL&amp;1321'FWL</t>
  </si>
  <si>
    <t>30"@138'</t>
  </si>
  <si>
    <t>13-3/8"@1028'</t>
  </si>
  <si>
    <t>9-5/8"@2715'</t>
  </si>
  <si>
    <t>?-5858 2595-2695 0-25</t>
  </si>
  <si>
    <t>0909720002</t>
  </si>
  <si>
    <t>OG_544</t>
  </si>
  <si>
    <t>LADI #30-4</t>
  </si>
  <si>
    <t>DIL BHCS DIP</t>
  </si>
  <si>
    <t>4S30 44S 26E</t>
  </si>
  <si>
    <t>26° 37' 5.46026" N</t>
  </si>
  <si>
    <t>81° 44' 48.2642" W</t>
  </si>
  <si>
    <t>1610'FSL&amp;1110'FEL</t>
  </si>
  <si>
    <t>16"@ 625'</t>
  </si>
  <si>
    <t>13-3/8"@ 1327'</t>
  </si>
  <si>
    <t>11384-11481</t>
  </si>
  <si>
    <t>11250-11600 3500-???? 10-250</t>
  </si>
  <si>
    <t>0907120024</t>
  </si>
  <si>
    <t>OG_545</t>
  </si>
  <si>
    <t>SRPC #14-4</t>
  </si>
  <si>
    <t>IL BHCS CNLDN</t>
  </si>
  <si>
    <t>4S14 4N 29W</t>
  </si>
  <si>
    <t>30° 51' 11.41254" N</t>
  </si>
  <si>
    <t>87° 6' 46.50467" W</t>
  </si>
  <si>
    <t>1040'FSL&amp;1600'FEL</t>
  </si>
  <si>
    <t>20" @ 100'</t>
  </si>
  <si>
    <t>10-3/4"@ 4255'</t>
  </si>
  <si>
    <t>7"@ 16188</t>
  </si>
  <si>
    <t>3-1/2"@ 15683'</t>
  </si>
  <si>
    <t>15747-16047</t>
  </si>
  <si>
    <t>6192 BOPD</t>
  </si>
  <si>
    <t>5624 MCFPD</t>
  </si>
  <si>
    <t>36 BWPD</t>
  </si>
  <si>
    <t>15779-15819</t>
  </si>
  <si>
    <t>0-100, 1262-1715, 3913-4558, 5721-6151, 12901-15725</t>
  </si>
  <si>
    <t>0911320052</t>
  </si>
  <si>
    <t>OG_546</t>
  </si>
  <si>
    <t>THOMAS #18-1</t>
  </si>
  <si>
    <t>DIL BHCS CNLDN MUD</t>
  </si>
  <si>
    <t>30° 56' 38.30529" N</t>
  </si>
  <si>
    <t>87° 8' 42.78347" W</t>
  </si>
  <si>
    <t>660'FNL&amp;1975'FEL</t>
  </si>
  <si>
    <t>16"@ 79'</t>
  </si>
  <si>
    <t>10-3/4"@ 3910'</t>
  </si>
  <si>
    <t>7"@ 15896</t>
  </si>
  <si>
    <t>3-1/2"@ 15329'</t>
  </si>
  <si>
    <t>15536-15865</t>
  </si>
  <si>
    <t>1008 BBLS</t>
  </si>
  <si>
    <t>1282 MCF</t>
  </si>
  <si>
    <t>15498-15669</t>
  </si>
  <si>
    <t>0911320053</t>
  </si>
  <si>
    <t>OG_547</t>
  </si>
  <si>
    <t>W J SCOTT ETAL #13-2</t>
  </si>
  <si>
    <t>2S13 5N 29W</t>
  </si>
  <si>
    <t>30° 57' 48.49555" N</t>
  </si>
  <si>
    <t>87° 7' 4.39956" W</t>
  </si>
  <si>
    <t>1100'FNL&amp;1250'FWL</t>
  </si>
  <si>
    <t>20" @ 109'</t>
  </si>
  <si>
    <t>10-3/4"@ 3861'</t>
  </si>
  <si>
    <t>15205-15584</t>
  </si>
  <si>
    <t>15070-15584 3595-3761 6-50</t>
  </si>
  <si>
    <t>0911320054</t>
  </si>
  <si>
    <t>OG_548</t>
  </si>
  <si>
    <t>C E HAYES ETAL #40-4</t>
  </si>
  <si>
    <t>3S40 5N 29W</t>
  </si>
  <si>
    <t>30° 57' 27.5661" N</t>
  </si>
  <si>
    <t>87° 9' 11.73341" W</t>
  </si>
  <si>
    <t xml:space="preserve">1693'FSL&amp;649'FWL </t>
  </si>
  <si>
    <t>16"@ 65'</t>
  </si>
  <si>
    <t>10-3/4"@ 3697'</t>
  </si>
  <si>
    <t>7"@ 15804'</t>
  </si>
  <si>
    <t>2-7/8"@ 15633</t>
  </si>
  <si>
    <t>15290-15809</t>
  </si>
  <si>
    <t>1200 BOPD</t>
  </si>
  <si>
    <t>1526 MCFPD</t>
  </si>
  <si>
    <t>15376-15498/15599-15710</t>
  </si>
  <si>
    <t>0911320055</t>
  </si>
  <si>
    <t>OG_549</t>
  </si>
  <si>
    <t>ROBERT MOSBACHER ETAL</t>
  </si>
  <si>
    <t>FIRST NATIONAL BANK OF AKRON #28-3</t>
  </si>
  <si>
    <t>3S28 1N 15W</t>
  </si>
  <si>
    <t>30° 27' 27.33262" N</t>
  </si>
  <si>
    <t>85° 45' 9.51413" W</t>
  </si>
  <si>
    <t xml:space="preserve">1150'FSL&amp;1150'FWL </t>
  </si>
  <si>
    <t>9-5/8"@ 3061'</t>
  </si>
  <si>
    <t>2811-3161 0-30</t>
  </si>
  <si>
    <t>0913320001</t>
  </si>
  <si>
    <t>OG_550</t>
  </si>
  <si>
    <t>J E JACKSON #40-1</t>
  </si>
  <si>
    <t>DIL BHCS CNLDN CC DP DIR</t>
  </si>
  <si>
    <t>1S40 5N 30W</t>
  </si>
  <si>
    <t>30° 57' 50.74434" N</t>
  </si>
  <si>
    <t>87° 12' 14.71102" W</t>
  </si>
  <si>
    <t xml:space="preserve">1751'FNL&amp;1906'FEL </t>
  </si>
  <si>
    <t>10-3/4"@ 3645'</t>
  </si>
  <si>
    <t>7"@ 15958</t>
  </si>
  <si>
    <t>3-1/2"@ 15268'</t>
  </si>
  <si>
    <t>15501-15750</t>
  </si>
  <si>
    <t>1219 BOPD</t>
  </si>
  <si>
    <t>1222 MCFPD</t>
  </si>
  <si>
    <t>15556-15588</t>
  </si>
  <si>
    <t>0-200, 1220-1650, 3037-3595, 5950-6209, 6742-7150</t>
  </si>
  <si>
    <t>0911320056</t>
  </si>
  <si>
    <t>OG_551</t>
  </si>
  <si>
    <t>MESA PETROLEUM CO</t>
  </si>
  <si>
    <t>ROLIN D DAVIS, TR MILLER MILL CO 33-1</t>
  </si>
  <si>
    <t>DIL CDN</t>
  </si>
  <si>
    <t>1S33 3N 28W</t>
  </si>
  <si>
    <t>30° 43' 44.28788" N</t>
  </si>
  <si>
    <t>87° 2' 50.85923" W</t>
  </si>
  <si>
    <t xml:space="preserve">1720'FNL&amp;1320'FEL </t>
  </si>
  <si>
    <t>10-3/4"@ 3980'</t>
  </si>
  <si>
    <t>16236-16879 CHIPS</t>
  </si>
  <si>
    <t>16079-16879 3875-4180 5-50</t>
  </si>
  <si>
    <t>0911320057</t>
  </si>
  <si>
    <t>OG_552</t>
  </si>
  <si>
    <t>BRAY #11-1</t>
  </si>
  <si>
    <t>3S11 5N 29W</t>
  </si>
  <si>
    <t>30° 57' 43.002" N</t>
  </si>
  <si>
    <t>87° 9' 11.8908" W</t>
  </si>
  <si>
    <t>10-3/4"@ 3905'</t>
  </si>
  <si>
    <t>7"@ 15823'</t>
  </si>
  <si>
    <t>3-1/2"@ 15323'</t>
  </si>
  <si>
    <t>15338-15786</t>
  </si>
  <si>
    <t>1560 BBLS</t>
  </si>
  <si>
    <t>1984 MCF</t>
  </si>
  <si>
    <t>15356-15603</t>
  </si>
  <si>
    <t>0-100, 1485-1860, 3821-4205, 5990-6376, 9826-10242</t>
  </si>
  <si>
    <t>0911320058</t>
  </si>
  <si>
    <t>OG_553</t>
  </si>
  <si>
    <t>HUNTER UNIT #30-1</t>
  </si>
  <si>
    <t>1S30 5N 29W</t>
  </si>
  <si>
    <t>30° 55' 20.47633" N</t>
  </si>
  <si>
    <t>87° 8' 36.92541" W</t>
  </si>
  <si>
    <t xml:space="preserve">660'FNL&amp;1320'FEL </t>
  </si>
  <si>
    <t>10-3/4"@ 3741'</t>
  </si>
  <si>
    <t>7"@ 16068</t>
  </si>
  <si>
    <t>3-1/2"@ 15523'</t>
  </si>
  <si>
    <t>15605-16608</t>
  </si>
  <si>
    <t>858 BOPD</t>
  </si>
  <si>
    <t>842 MCFPD</t>
  </si>
  <si>
    <t>15684-15702</t>
  </si>
  <si>
    <t>TOC 15,475'</t>
  </si>
  <si>
    <t>0911320059</t>
  </si>
  <si>
    <t>553A</t>
  </si>
  <si>
    <t>HUNTER UNIT #30-1A</t>
  </si>
  <si>
    <t>DIR BOND MUD NEUTRON</t>
  </si>
  <si>
    <t>30° 55' 20.49693" N</t>
  </si>
  <si>
    <t>87° 8' 36.94285" W</t>
  </si>
  <si>
    <t xml:space="preserve">449'FNL&amp;1447'FEL </t>
  </si>
  <si>
    <t>4-1/2@16014MD</t>
  </si>
  <si>
    <t>3-1/2"@ 11140.45'</t>
  </si>
  <si>
    <t>2600 MCFPD</t>
  </si>
  <si>
    <t>3434 BWPD</t>
  </si>
  <si>
    <t>15787-16002</t>
  </si>
  <si>
    <t>0911320059-01</t>
  </si>
  <si>
    <t>OG_554</t>
  </si>
  <si>
    <t>RED CATTLE B #19-3</t>
  </si>
  <si>
    <t>3S19 45S 28E</t>
  </si>
  <si>
    <t>26° 32' 44.77491" N</t>
  </si>
  <si>
    <t>81° 33' 27.58644" W</t>
  </si>
  <si>
    <t xml:space="preserve">1200'FSL&amp;2156'FWL </t>
  </si>
  <si>
    <t>13-3/8"@ 1315'</t>
  </si>
  <si>
    <t>9-5/8"@ 3512'</t>
  </si>
  <si>
    <t>5-1/2"@ 11580'</t>
  </si>
  <si>
    <t>2-7/8"@ 5069'</t>
  </si>
  <si>
    <t>816 BOPD</t>
  </si>
  <si>
    <t>55 MCF</t>
  </si>
  <si>
    <t>11453-11463</t>
  </si>
  <si>
    <t>11476-10669,3462-3221,1981-1092,870-475,200-0</t>
  </si>
  <si>
    <t>0905120037</t>
  </si>
  <si>
    <t>OG_555</t>
  </si>
  <si>
    <t>BLACKJACK CREEK SWD SYSTEM 1, WELL 1</t>
  </si>
  <si>
    <t>SWD/P&amp;A</t>
  </si>
  <si>
    <t>SERVICE SWD</t>
  </si>
  <si>
    <t>1S24 4N 29W</t>
  </si>
  <si>
    <t>30° 50' 48.46262" N</t>
  </si>
  <si>
    <t>87° 5' 39.03846" W</t>
  </si>
  <si>
    <t xml:space="preserve">1040'FNL&amp;1040'FEL </t>
  </si>
  <si>
    <t>1040 FEL 1040 FNL</t>
  </si>
  <si>
    <t>10-3/4" 4126'</t>
  </si>
  <si>
    <t>7" 7480'</t>
  </si>
  <si>
    <t>2-7/8" 6250'</t>
  </si>
  <si>
    <t>6556-6715</t>
  </si>
  <si>
    <t>0-494, 1037-1595, 3544-4441,6164-6765</t>
  </si>
  <si>
    <t>0911320060</t>
  </si>
  <si>
    <t>EPA ID# FLS1130059/EPA permit FLI0003</t>
  </si>
  <si>
    <t>555B</t>
  </si>
  <si>
    <t>OG_555B</t>
  </si>
  <si>
    <t>SRPC #24-1B</t>
  </si>
  <si>
    <t>30° 50' 48.3288" N</t>
  </si>
  <si>
    <t>87° 5' 39.066" W</t>
  </si>
  <si>
    <t xml:space="preserve">1064'FNL&amp;1040'FEL </t>
  </si>
  <si>
    <t>1040 FEL 1064 FNL</t>
  </si>
  <si>
    <t>20" 88'</t>
  </si>
  <si>
    <t>10-3/4" 4185'</t>
  </si>
  <si>
    <t>7" 16018'</t>
  </si>
  <si>
    <t>3-1/2" 14560'</t>
  </si>
  <si>
    <t>15669-15788 15802-15834</t>
  </si>
  <si>
    <t>1320 BOPD</t>
  </si>
  <si>
    <t>1174 MCFPD</t>
  </si>
  <si>
    <t>15744-15772 15781-15786</t>
  </si>
  <si>
    <t>0-100, 1202-1804, 3930-4485, 6160-6210, 14880-15300</t>
  </si>
  <si>
    <t>0911320071</t>
  </si>
  <si>
    <t>OG_556</t>
  </si>
  <si>
    <t>FRANK NOWLING #24-3</t>
  </si>
  <si>
    <t>3S24 5N 29W</t>
  </si>
  <si>
    <t>30° 55' 45.74591" N</t>
  </si>
  <si>
    <t>87° 8' 13.40864" W</t>
  </si>
  <si>
    <t>1973'FSL&amp;660'FWL</t>
  </si>
  <si>
    <t>10-3/4"@ 3876'</t>
  </si>
  <si>
    <t>7"@ 15988</t>
  </si>
  <si>
    <t>3-1/2"@ 15233'</t>
  </si>
  <si>
    <t>15528-15988</t>
  </si>
  <si>
    <t>1553 BOPD</t>
  </si>
  <si>
    <t>1530 MCFPD</t>
  </si>
  <si>
    <t>15566-15605</t>
  </si>
  <si>
    <t>0-100, 1154-1593, 3712-4026, 5804-6055, 15347-15566</t>
  </si>
  <si>
    <t>0911320061</t>
  </si>
  <si>
    <t>OG_557</t>
  </si>
  <si>
    <t>MITCHELL UNIT #30-2</t>
  </si>
  <si>
    <t>DIL BHCS CNLDN CDN DP</t>
  </si>
  <si>
    <t>2S30 5N 29W</t>
  </si>
  <si>
    <t>30° 55' 21.16789" N</t>
  </si>
  <si>
    <t>87° 8' 59.8159" W</t>
  </si>
  <si>
    <t xml:space="preserve">660'FNL&amp;1985'FWL </t>
  </si>
  <si>
    <t>10-3/4"@ 3787'</t>
  </si>
  <si>
    <t>7"@ 15975</t>
  </si>
  <si>
    <t>3-1/2"@ 15409'</t>
  </si>
  <si>
    <t>15600-16031</t>
  </si>
  <si>
    <t>1343 BOPD</t>
  </si>
  <si>
    <t>1914 MCFPD</t>
  </si>
  <si>
    <t>10 BWPD</t>
  </si>
  <si>
    <t>15644-15740</t>
  </si>
  <si>
    <t>0911320062</t>
  </si>
  <si>
    <t>OG_558</t>
  </si>
  <si>
    <t>C D HELMS ETAL #5-4</t>
  </si>
  <si>
    <t>4S5 5N 29W</t>
  </si>
  <si>
    <t>30° 58' 8.8006" N</t>
  </si>
  <si>
    <t>87° 8' 38.08511" W</t>
  </si>
  <si>
    <t>660'FSL&amp;1696'FEL</t>
  </si>
  <si>
    <t>9-5/8"@ 3861'</t>
  </si>
  <si>
    <t>7"@ 16106</t>
  </si>
  <si>
    <t>3-1/2"@ 15536'</t>
  </si>
  <si>
    <t>15601-15831</t>
  </si>
  <si>
    <t>1288 BOPD</t>
  </si>
  <si>
    <t>1267 MCFPD</t>
  </si>
  <si>
    <t>4 BWPD</t>
  </si>
  <si>
    <t>15135-15821</t>
  </si>
  <si>
    <t>0911320063</t>
  </si>
  <si>
    <t>EPA permit FLS1130075/FLI0045</t>
  </si>
  <si>
    <t>OG_559</t>
  </si>
  <si>
    <t>C.D.BRAGG #22-1</t>
  </si>
  <si>
    <t>DIL BHCS CNLDN DP MUD DIR</t>
  </si>
  <si>
    <t>1S22 5N 29W</t>
  </si>
  <si>
    <t>30° 56' 14.0913" N</t>
  </si>
  <si>
    <t>87° 9' 33.64851" W</t>
  </si>
  <si>
    <t>660'FNL&amp;1105'FEL</t>
  </si>
  <si>
    <t>7"@ 15600</t>
  </si>
  <si>
    <t>2-7/8"@ 15590</t>
  </si>
  <si>
    <t>15530-16002</t>
  </si>
  <si>
    <t>1356 BOPD</t>
  </si>
  <si>
    <t>1406 MCFPD</t>
  </si>
  <si>
    <t>15678-15800</t>
  </si>
  <si>
    <t>0911320064</t>
  </si>
  <si>
    <t>EPA ID # FLS1130025</t>
  </si>
  <si>
    <t>OG_560</t>
  </si>
  <si>
    <t>OLEUM CORP #25-3</t>
  </si>
  <si>
    <t>3S25 47S 32E</t>
  </si>
  <si>
    <t>26° 21' 41.53219" N</t>
  </si>
  <si>
    <t>81° 5' 22.3103" W</t>
  </si>
  <si>
    <t>1320'FSL&amp;1000'FWL</t>
  </si>
  <si>
    <t>0905120038</t>
  </si>
  <si>
    <t>560A</t>
  </si>
  <si>
    <t>13-3/8"@ 1354'</t>
  </si>
  <si>
    <t>9-5/8"@ 3691'</t>
  </si>
  <si>
    <t>11446-11466</t>
  </si>
  <si>
    <t>11228-11700 3418-3618 0-150</t>
  </si>
  <si>
    <t>0905120047</t>
  </si>
  <si>
    <t>OG_561</t>
  </si>
  <si>
    <t>OLEUM CORP #6-3</t>
  </si>
  <si>
    <t>3S6 48S 32E</t>
  </si>
  <si>
    <t>26° 19' 50.87712" N</t>
  </si>
  <si>
    <t>81° 10' 8.57824" W</t>
  </si>
  <si>
    <t>1000'FSL&amp;1320'FWL</t>
  </si>
  <si>
    <t>20"@ 218'</t>
  </si>
  <si>
    <t>13-3/8"@ 1362'</t>
  </si>
  <si>
    <t>9-5/8"@ 3725'</t>
  </si>
  <si>
    <t>11482-11498</t>
  </si>
  <si>
    <t>11289-11589 3524-3724 900-1200 0-50</t>
  </si>
  <si>
    <t>0905120039</t>
  </si>
  <si>
    <t>OG_562</t>
  </si>
  <si>
    <t>BARRON COLLIER JR ETAL #31-3</t>
  </si>
  <si>
    <t>3S31 49S 33E</t>
  </si>
  <si>
    <t>26° 10' 20.35672" N</t>
  </si>
  <si>
    <t>81° 4' 8.8899" W</t>
  </si>
  <si>
    <t>1320'FSL&amp;1120'FWL</t>
  </si>
  <si>
    <t>13-3/8"@ 1336'</t>
  </si>
  <si>
    <t>9-5/8"@ 3650'</t>
  </si>
  <si>
    <t>11250-11750 ???-3550 10-250</t>
  </si>
  <si>
    <t>0902120015</t>
  </si>
  <si>
    <t>OG_563</t>
  </si>
  <si>
    <t>BEAR ISLAND</t>
  </si>
  <si>
    <t>GCRC #2-4</t>
  </si>
  <si>
    <t>4S2 49S 30E</t>
  </si>
  <si>
    <t>26° 13' 54.10434" N</t>
  </si>
  <si>
    <t>81° 17' 14.67614" W</t>
  </si>
  <si>
    <t>1200'FSL&amp;1200'FEL</t>
  </si>
  <si>
    <t>13-3/8"@ 1358'</t>
  </si>
  <si>
    <t>7"@ 11589</t>
  </si>
  <si>
    <t>2-7/8"@ 15467</t>
  </si>
  <si>
    <t>11544-11685</t>
  </si>
  <si>
    <t>132 BOPD</t>
  </si>
  <si>
    <t>11459-11595</t>
  </si>
  <si>
    <t>11817-11174 3422-3480 1053-2130 682-837 179-431 21-110</t>
  </si>
  <si>
    <t>0902120016</t>
  </si>
  <si>
    <t>Bear Island Field discovery well</t>
  </si>
  <si>
    <t>OG_564</t>
  </si>
  <si>
    <t>RAYMOND D REYNOLDS</t>
  </si>
  <si>
    <t>MRS IVAR AXELSON ETAL #1</t>
  </si>
  <si>
    <t>4S0 54S 33E</t>
  </si>
  <si>
    <t>25° 45' 45.4756" N</t>
  </si>
  <si>
    <t>80° 59' 32.02084" W</t>
  </si>
  <si>
    <t xml:space="preserve">600'FSL&amp;1320'FEL </t>
  </si>
  <si>
    <t>13-3/8"@ 1377'</t>
  </si>
  <si>
    <t>11538-790</t>
  </si>
  <si>
    <t>11678-11901</t>
  </si>
  <si>
    <t>TRACE</t>
  </si>
  <si>
    <t>537bBLS SW</t>
  </si>
  <si>
    <t>???-12662 3470-3670 0-50</t>
  </si>
  <si>
    <t>0908720092</t>
  </si>
  <si>
    <t xml:space="preserve">All pipe left in ground. </t>
  </si>
  <si>
    <t>OG_565</t>
  </si>
  <si>
    <t>SEMINOLE TRIBE #1-B</t>
  </si>
  <si>
    <t>2S28 48S 33E</t>
  </si>
  <si>
    <t>26° 16' 58.84656" N</t>
  </si>
  <si>
    <t>81° 2' 17.5493" W</t>
  </si>
  <si>
    <t>1020'FNL&amp;1320'FWL</t>
  </si>
  <si>
    <t>13-3/8"@ 1016'</t>
  </si>
  <si>
    <t>9-5/8"@ 4108</t>
  </si>
  <si>
    <t>SEE 565A PLUGS</t>
  </si>
  <si>
    <t>0905120040</t>
  </si>
  <si>
    <t>Well was transferred over to Philips Petroleum Co. at 11,655' on 4/27/1972</t>
  </si>
  <si>
    <t>565A</t>
  </si>
  <si>
    <t>SEMINOLE C #1</t>
  </si>
  <si>
    <t>5-1/2"@ 16970'</t>
  </si>
  <si>
    <t>15620-15670 3930-4208 1239-1339 0-50</t>
  </si>
  <si>
    <t>OG_566</t>
  </si>
  <si>
    <t>MALCOM B WISEHEART ETAL #1</t>
  </si>
  <si>
    <t>3S16 54S 35E</t>
  </si>
  <si>
    <t>25° 46' 7.42361" N</t>
  </si>
  <si>
    <t>80° 50' 17.23949" W</t>
  </si>
  <si>
    <t xml:space="preserve">1700'FSL&amp;1700'FWL </t>
  </si>
  <si>
    <t>0902520003</t>
  </si>
  <si>
    <t>OG_567</t>
  </si>
  <si>
    <t>ROBERT MOSBACHER</t>
  </si>
  <si>
    <t>1S6 47S 31E</t>
  </si>
  <si>
    <t>26° 25' 25.72411" N</t>
  </si>
  <si>
    <t>81° 15' 32.54527" W</t>
  </si>
  <si>
    <t>1263'FNL&amp;1111'FEL</t>
  </si>
  <si>
    <t>13-3/8"@ 1401'</t>
  </si>
  <si>
    <t>9-5/8"@ 4003</t>
  </si>
  <si>
    <t>11410-11610 3825-4105 0-57</t>
  </si>
  <si>
    <t>0905120041</t>
  </si>
  <si>
    <t>OG_568</t>
  </si>
  <si>
    <t>DUDA A #1</t>
  </si>
  <si>
    <t>2S27 44S 28E</t>
  </si>
  <si>
    <t>26° 37' 36.2932" N</t>
  </si>
  <si>
    <t>81° 30' 44.45539" W</t>
  </si>
  <si>
    <t>1031'FNL&amp;1456'FWL</t>
  </si>
  <si>
    <t>9-5/8"@ 3694</t>
  </si>
  <si>
    <t>3555-3794 0-49</t>
  </si>
  <si>
    <t>0905120042</t>
  </si>
  <si>
    <t>OG_569</t>
  </si>
  <si>
    <t>RUBY KENT ETAL #18-2</t>
  </si>
  <si>
    <t>2S18 5N 29W</t>
  </si>
  <si>
    <t>30° 56' 38.89692" N</t>
  </si>
  <si>
    <t>87° 9' 7.7" W</t>
  </si>
  <si>
    <t xml:space="preserve">660'FNL&amp;1125'FWL </t>
  </si>
  <si>
    <t>10-3/4"@ 3830'</t>
  </si>
  <si>
    <t>7"@ 15912</t>
  </si>
  <si>
    <t>15495-15928</t>
  </si>
  <si>
    <t>1260 BOPD</t>
  </si>
  <si>
    <t>1541 MCFPD</t>
  </si>
  <si>
    <t>15704-15750</t>
  </si>
  <si>
    <t>0911320065</t>
  </si>
  <si>
    <t>EPA ID # FLS1130020</t>
  </si>
  <si>
    <t>OG_570</t>
  </si>
  <si>
    <t>JAY SWD SYSTEM #1 WELL #1</t>
  </si>
  <si>
    <t>DIL PFC</t>
  </si>
  <si>
    <t>30° 57' 50.49083" N</t>
  </si>
  <si>
    <t>87° 10' 51.21581" W</t>
  </si>
  <si>
    <t>1676'FNL&amp;2679'FEL of SEC 9</t>
  </si>
  <si>
    <t>16"@ 99'</t>
  </si>
  <si>
    <t>8-5/8"@832'</t>
  </si>
  <si>
    <t>4-1/2"@ 7106'</t>
  </si>
  <si>
    <t>2-7/8"@ 6323</t>
  </si>
  <si>
    <t>6350-6475</t>
  </si>
  <si>
    <t>6350-6570 5900-6216 1650-1850 630-1403 435-590 8-50</t>
  </si>
  <si>
    <t>0911320066</t>
  </si>
  <si>
    <t>OG_571</t>
  </si>
  <si>
    <t>TEXAS GAS EXPL CORP</t>
  </si>
  <si>
    <t>R W SLEMAKER ETAL #1</t>
  </si>
  <si>
    <t>4S8 5N 20W</t>
  </si>
  <si>
    <t>30° 56' 41.78846" N</t>
  </si>
  <si>
    <t>86° 15' 32.00159" W</t>
  </si>
  <si>
    <t xml:space="preserve">1520'FSL&amp;1120'FEL </t>
  </si>
  <si>
    <t>0913120002</t>
  </si>
  <si>
    <t>OG_572</t>
  </si>
  <si>
    <t>TRMMCI ETAL #34-4</t>
  </si>
  <si>
    <t>4S34 6N 30W</t>
  </si>
  <si>
    <t>30° 59' 11.33522" N</t>
  </si>
  <si>
    <t>87° 13' 2.3768" W</t>
  </si>
  <si>
    <t xml:space="preserve">1054'FSL&amp;923'FEL </t>
  </si>
  <si>
    <t>10-3/4"@ 3575'</t>
  </si>
  <si>
    <t>3-1/2"@ 15344'</t>
  </si>
  <si>
    <t>15454-15750</t>
  </si>
  <si>
    <t>1185 BOPD</t>
  </si>
  <si>
    <t>1367 MCFPD</t>
  </si>
  <si>
    <t>15490-15510</t>
  </si>
  <si>
    <t>0903320015</t>
  </si>
  <si>
    <t>EPA ID # FLS0330003</t>
  </si>
  <si>
    <t>OG_573</t>
  </si>
  <si>
    <t>MCDAVID LANDS #35-2</t>
  </si>
  <si>
    <t>30° 59' 40.06872" N</t>
  </si>
  <si>
    <t>87° 12' 36.90659" W</t>
  </si>
  <si>
    <t>1170'FNL&amp;1750'FWL</t>
  </si>
  <si>
    <t>16"@ 113'</t>
  </si>
  <si>
    <t>.</t>
  </si>
  <si>
    <t>7"@ 15758</t>
  </si>
  <si>
    <t>2-7/8"@ 15300</t>
  </si>
  <si>
    <t>15393-15807</t>
  </si>
  <si>
    <t>15394-15418</t>
  </si>
  <si>
    <t>14769-15519 9780-10500</t>
  </si>
  <si>
    <t>0903320016</t>
  </si>
  <si>
    <t>573A</t>
  </si>
  <si>
    <t>MCDAVID LANDS #35-2A</t>
  </si>
  <si>
    <t>1747FNL&amp;2528FWL</t>
  </si>
  <si>
    <t>10-3/4"@ 3525'</t>
  </si>
  <si>
    <t>7"@ 15765</t>
  </si>
  <si>
    <t>1228 MCFPD</t>
  </si>
  <si>
    <t>30 BWPD</t>
  </si>
  <si>
    <t>15390-15420</t>
  </si>
  <si>
    <t>15390-15420 14900-15200</t>
  </si>
  <si>
    <t>0903320016-01</t>
  </si>
  <si>
    <t>573B</t>
  </si>
  <si>
    <t>MCDAVID LANDS #35-2B</t>
  </si>
  <si>
    <t>CNL</t>
  </si>
  <si>
    <t>1700FNL&amp;2460FWL</t>
  </si>
  <si>
    <t>5"@ 15508</t>
  </si>
  <si>
    <t>2-7/8"@ 15362</t>
  </si>
  <si>
    <t>15398-15418</t>
  </si>
  <si>
    <t>1143 BOPD</t>
  </si>
  <si>
    <t>1717 MCFPD</t>
  </si>
  <si>
    <t>15394-15420 6070-6270 4246-4476 3375-3675 1154-1783 10-157</t>
  </si>
  <si>
    <t>0903320016-02</t>
  </si>
  <si>
    <t>OG_574</t>
  </si>
  <si>
    <t>LAKE</t>
  </si>
  <si>
    <t>HAMILTON BROTHERS OIL CO</t>
  </si>
  <si>
    <t>W A KEEN #25-1</t>
  </si>
  <si>
    <t>3S25 20S 26E</t>
  </si>
  <si>
    <t>28° 42' 42.40548" N</t>
  </si>
  <si>
    <t>81° 40' 25.48326" W</t>
  </si>
  <si>
    <t>660'FSL&amp;460'FWL</t>
  </si>
  <si>
    <t>30"@ 101</t>
  </si>
  <si>
    <t>20"@233</t>
  </si>
  <si>
    <t>13'3/8"@ 1101</t>
  </si>
  <si>
    <t>9-5/8"@ 2401</t>
  </si>
  <si>
    <t>4993-4829</t>
  </si>
  <si>
    <t>4829-4993,2400-2250,90-0</t>
  </si>
  <si>
    <t>0906920001</t>
  </si>
  <si>
    <t>OG_575</t>
  </si>
  <si>
    <t>MCDAVID LANDS #35-4</t>
  </si>
  <si>
    <t>DIL BHCS CNLDN GRN DIR</t>
  </si>
  <si>
    <t>1S35 6N 30W</t>
  </si>
  <si>
    <t>30° 58' 59.65727" N</t>
  </si>
  <si>
    <t>87° 12' 24.93716" W</t>
  </si>
  <si>
    <t>100'FNL&amp;2228'FEL</t>
  </si>
  <si>
    <t>10-3/4"@ 5090'</t>
  </si>
  <si>
    <t>7"@ 15831</t>
  </si>
  <si>
    <t>3-1/2"@ 15400'</t>
  </si>
  <si>
    <t>15502-15833</t>
  </si>
  <si>
    <t>1685 BOPD</t>
  </si>
  <si>
    <t>1890 MCFPD</t>
  </si>
  <si>
    <t>15494-15831</t>
  </si>
  <si>
    <t>15400-15831 15000-15300 8345-8950 4815-5181 1200-1800 10-119</t>
  </si>
  <si>
    <t>0903320017</t>
  </si>
  <si>
    <t>EPA ID# FLS0330004</t>
  </si>
  <si>
    <t>OG_576</t>
  </si>
  <si>
    <t>MCDAVID LANDS #2-1</t>
  </si>
  <si>
    <t>1S2 5N 30W</t>
  </si>
  <si>
    <t>30° 58' 58.34674" N</t>
  </si>
  <si>
    <t>87° 12' 25.4362" W</t>
  </si>
  <si>
    <t>250'FNL&amp;2272'FEL</t>
  </si>
  <si>
    <t>753FNL&amp;836FEL</t>
  </si>
  <si>
    <t>10-3/4"@ 5148'</t>
  </si>
  <si>
    <t>7"@ 15935</t>
  </si>
  <si>
    <t>3-1/2"@ 15390</t>
  </si>
  <si>
    <t>15545-15937</t>
  </si>
  <si>
    <t>1560 BOPD</t>
  </si>
  <si>
    <t>1874 MCFPD</t>
  </si>
  <si>
    <t>15535-15590</t>
  </si>
  <si>
    <t>15535-15590 15043-15400 5731-5973 4561-5049 1314-1800 350-642 16-109</t>
  </si>
  <si>
    <t>0903320018</t>
  </si>
  <si>
    <t>OG_577</t>
  </si>
  <si>
    <t>FINLEY HEIRS ETAL #2-1</t>
  </si>
  <si>
    <t>1S2 5N 29W</t>
  </si>
  <si>
    <t>30° 58' 34.07099" N</t>
  </si>
  <si>
    <t>87° 7' 5.94797" W</t>
  </si>
  <si>
    <t>0911320067</t>
  </si>
  <si>
    <t>OG_578</t>
  </si>
  <si>
    <t>ALBERT L ROSASCO ETAL #19-4</t>
  </si>
  <si>
    <t>4S19 4N 28W</t>
  </si>
  <si>
    <t>30° 50' 16.61169" N</t>
  </si>
  <si>
    <t>87° 4' 45.9136" W</t>
  </si>
  <si>
    <t>1023'FSL&amp;1580'FEL</t>
  </si>
  <si>
    <t>10-3/4"@ 3721'</t>
  </si>
  <si>
    <t>7"@ 16250</t>
  </si>
  <si>
    <t>2-7/8"@ 15675</t>
  </si>
  <si>
    <t>15810-15989</t>
  </si>
  <si>
    <t>15828-15877</t>
  </si>
  <si>
    <t>0-100, 1049-1663, 3295-4036, 6176-6302, 15340-15877</t>
  </si>
  <si>
    <t>0911320068</t>
  </si>
  <si>
    <t>OG_579</t>
  </si>
  <si>
    <t>C M CREEL #17-2</t>
  </si>
  <si>
    <t>2S17 3N 28W</t>
  </si>
  <si>
    <t>30° 46' 29.72448" N</t>
  </si>
  <si>
    <t>87° 4' 20.073" W</t>
  </si>
  <si>
    <t>1043'FNL&amp;1043'FWL</t>
  </si>
  <si>
    <t>10-3/4"@ 3930'</t>
  </si>
  <si>
    <t>16235-16433</t>
  </si>
  <si>
    <t>15725-16725 3739-4039 1404-1504 6-36</t>
  </si>
  <si>
    <t>0911320069</t>
  </si>
  <si>
    <t>OG_580</t>
  </si>
  <si>
    <t>RUBY C KENT ETAL #23-2</t>
  </si>
  <si>
    <t>2S23 5N 29W</t>
  </si>
  <si>
    <t>30° 56' 12.99186" N</t>
  </si>
  <si>
    <t>87° 8' 58.32568" W</t>
  </si>
  <si>
    <t xml:space="preserve">660'FNL&amp;1978'FEL </t>
  </si>
  <si>
    <t>10-3/4"@ 3782'</t>
  </si>
  <si>
    <t>7"@ 15900</t>
  </si>
  <si>
    <t>2-1/2"@ 15458'</t>
  </si>
  <si>
    <t>15520-15899</t>
  </si>
  <si>
    <t>1248 BOPD</t>
  </si>
  <si>
    <t>1527 MCFPD</t>
  </si>
  <si>
    <t>15521-15654</t>
  </si>
  <si>
    <t>0911320070</t>
  </si>
  <si>
    <t>OG_581</t>
  </si>
  <si>
    <t>SRPC #12-3</t>
  </si>
  <si>
    <t>INJ/TA</t>
  </si>
  <si>
    <t>3S12 4N 29W</t>
  </si>
  <si>
    <t>30° 52' 4.35942" N</t>
  </si>
  <si>
    <t>87° 6' 12.88259" W</t>
  </si>
  <si>
    <t>1190'FSL&amp;1040'FWL</t>
  </si>
  <si>
    <t>10-3/4"@ 3990'</t>
  </si>
  <si>
    <t>7"@ 16248</t>
  </si>
  <si>
    <t>15846-16088</t>
  </si>
  <si>
    <t>15976-16066</t>
  </si>
  <si>
    <t>15501-16066</t>
  </si>
  <si>
    <t>0911320072</t>
  </si>
  <si>
    <t>EPA ID # FLS1130007</t>
  </si>
  <si>
    <t>OG_582</t>
  </si>
  <si>
    <t>SRPC UNIT #13-1</t>
  </si>
  <si>
    <t>DIL BHCS CNLDN NEUTRON DIR</t>
  </si>
  <si>
    <t>1S13 5N 30W</t>
  </si>
  <si>
    <t>30° 57' 9.16261" N</t>
  </si>
  <si>
    <t>87° 11' 30.94318" W</t>
  </si>
  <si>
    <t>10-3/4"@ 3720'</t>
  </si>
  <si>
    <t>7"@ 16020</t>
  </si>
  <si>
    <t>15576-15826</t>
  </si>
  <si>
    <t>1042 BOPD</t>
  </si>
  <si>
    <t>1340 MCFPD</t>
  </si>
  <si>
    <t>15622-15642</t>
  </si>
  <si>
    <t>14166-14340 3593-3767 3260-3530 1448-1710 10-63</t>
  </si>
  <si>
    <t>0911320073</t>
  </si>
  <si>
    <t>OG_583</t>
  </si>
  <si>
    <t>SRPC #14-1</t>
  </si>
  <si>
    <t>DIL BHCS CNLDN CDN</t>
  </si>
  <si>
    <t>1S14 4N 29W</t>
  </si>
  <si>
    <t>30° 51' 38.97943" N</t>
  </si>
  <si>
    <t>87° 6' 40.98259" W</t>
  </si>
  <si>
    <t>1600'FNL&amp;1290'FEL</t>
  </si>
  <si>
    <t>10-3/4"@ 3923'</t>
  </si>
  <si>
    <t>7"@ 16200</t>
  </si>
  <si>
    <t>3-1/2"@ 15590'</t>
  </si>
  <si>
    <t>15699-15966</t>
  </si>
  <si>
    <t>2448 BOPD</t>
  </si>
  <si>
    <t>2222 MCFPD</t>
  </si>
  <si>
    <t>15742-15826</t>
  </si>
  <si>
    <t>0-100, 1120-1648, 3236-4226, 5645-6329, 15392-15850</t>
  </si>
  <si>
    <t>0911320074</t>
  </si>
  <si>
    <t>OG_584</t>
  </si>
  <si>
    <t>SRPC #14-3</t>
  </si>
  <si>
    <t>3S14 4N 29W</t>
  </si>
  <si>
    <t>30° 51' 15.23333" N</t>
  </si>
  <si>
    <t>87° 7' 12.64765" W</t>
  </si>
  <si>
    <t>1400FSL&amp;1600FWL</t>
  </si>
  <si>
    <t>0911320075</t>
  </si>
  <si>
    <t>OG_585</t>
  </si>
  <si>
    <t>SRPC #24-2</t>
  </si>
  <si>
    <t>2S24 4N 29W</t>
  </si>
  <si>
    <t>30° 50' 47.9912" N</t>
  </si>
  <si>
    <t>87° 6' 15.98726" W</t>
  </si>
  <si>
    <t>1320FNL&amp;1000FWL</t>
  </si>
  <si>
    <t>0911320076</t>
  </si>
  <si>
    <t>OG_586</t>
  </si>
  <si>
    <t>B D HENDRICKS ETAL #23-3</t>
  </si>
  <si>
    <t>3S23 5N 29W</t>
  </si>
  <si>
    <t>30° 55' 47.4967" N</t>
  </si>
  <si>
    <t>87° 9' 14.14339" W</t>
  </si>
  <si>
    <t>1962'FSL&amp;660'FWL</t>
  </si>
  <si>
    <t>10-3/4"@ 3810'</t>
  </si>
  <si>
    <t>7"@ 15941</t>
  </si>
  <si>
    <t>2-7/8"@ 15517</t>
  </si>
  <si>
    <t>15539-15935</t>
  </si>
  <si>
    <t>1350 BOPD</t>
  </si>
  <si>
    <t>1519 MCFPD</t>
  </si>
  <si>
    <t>15578-15707</t>
  </si>
  <si>
    <t>0911320077</t>
  </si>
  <si>
    <t>OG_587</t>
  </si>
  <si>
    <t>IPC-SCOTT PAPER CO #5-1</t>
  </si>
  <si>
    <t>4S5 5N 20W</t>
  </si>
  <si>
    <t>30° 57' 31.02649" N</t>
  </si>
  <si>
    <t>86° 15' 35.96331" W</t>
  </si>
  <si>
    <t>1120'FSL&amp;1520'FEL</t>
  </si>
  <si>
    <t>10-3/4"@ 3003'</t>
  </si>
  <si>
    <t>2818-3050 0-25</t>
  </si>
  <si>
    <t>0913120003</t>
  </si>
  <si>
    <t>OG_588</t>
  </si>
  <si>
    <t>P R RUTHERFORD</t>
  </si>
  <si>
    <t>HENRY ELLIOT JR ETAL #8-3</t>
  </si>
  <si>
    <t>DIL BHCS CNLDN DIP</t>
  </si>
  <si>
    <t>3S8 2N 27W</t>
  </si>
  <si>
    <t>30° 41' 33.70762" N</t>
  </si>
  <si>
    <t>86° 58' 24.33817" W</t>
  </si>
  <si>
    <t>1600FSL&amp;1100FWL</t>
  </si>
  <si>
    <t>16037-16173</t>
  </si>
  <si>
    <t>15572-16572 3684-4034 0-50</t>
  </si>
  <si>
    <t>0911320078</t>
  </si>
  <si>
    <t>OG_589</t>
  </si>
  <si>
    <t>CHEVRON OIL CO,EXXON</t>
  </si>
  <si>
    <t>DESMOND BOUTWELL ETAL #22-2</t>
  </si>
  <si>
    <t>30° 56' 14.80101" N</t>
  </si>
  <si>
    <t>87° 9' 59.31632" W</t>
  </si>
  <si>
    <t>16"@ 81'</t>
  </si>
  <si>
    <t>10-3/4"@ 3835</t>
  </si>
  <si>
    <t>7"@ 16040</t>
  </si>
  <si>
    <t>2-7/8"@ 15625</t>
  </si>
  <si>
    <t>15661-16040</t>
  </si>
  <si>
    <t>1380 BOPD</t>
  </si>
  <si>
    <t>1596 MCFPD</t>
  </si>
  <si>
    <t>15674-15704</t>
  </si>
  <si>
    <t>11115-14653 6200-6380 2967-3169 1284-1784 15-154</t>
  </si>
  <si>
    <t>0911320079</t>
  </si>
  <si>
    <t>EPA ID # FLS1130026</t>
  </si>
  <si>
    <t>OG_590</t>
  </si>
  <si>
    <t>SONAT EXPLORATION CO</t>
  </si>
  <si>
    <t>JAMES G MOORE #3-11</t>
  </si>
  <si>
    <t>3S3 3N 24W</t>
  </si>
  <si>
    <t>30° 47' 8.2856" N</t>
  </si>
  <si>
    <t>86° 38' 14.71787" W</t>
  </si>
  <si>
    <t>1550'FSL&amp;1550'FWL</t>
  </si>
  <si>
    <t>16"@ 95'</t>
  </si>
  <si>
    <t>10-3/4"@ 3894</t>
  </si>
  <si>
    <t>3725-4105 7-47</t>
  </si>
  <si>
    <t>0909120002</t>
  </si>
  <si>
    <t>OG_591</t>
  </si>
  <si>
    <t>ALICE BRAY ETAL #20-3</t>
  </si>
  <si>
    <t>DIL BHCS CNLDN GR CC DIR</t>
  </si>
  <si>
    <t>3S20 5N 29W</t>
  </si>
  <si>
    <t>30° 56' 38.24417" N</t>
  </si>
  <si>
    <t>87° 11' 0.49161" W</t>
  </si>
  <si>
    <t>1528'FNL&amp;2051'FEL</t>
  </si>
  <si>
    <t>9-5/8"@ 3807'</t>
  </si>
  <si>
    <t>7"@ 16009</t>
  </si>
  <si>
    <t>3-1/2"@ 15513</t>
  </si>
  <si>
    <t>15670-15938</t>
  </si>
  <si>
    <t>2048 BOPD</t>
  </si>
  <si>
    <t>1908 MCFPD</t>
  </si>
  <si>
    <t>15675-15775</t>
  </si>
  <si>
    <t>0911320080</t>
  </si>
  <si>
    <t>EPA ID # FLS1130023</t>
  </si>
  <si>
    <t>OG_592</t>
  </si>
  <si>
    <t>ROY E JOHNSON ETAL #12-1</t>
  </si>
  <si>
    <t>1S12 5N 30W</t>
  </si>
  <si>
    <t>30° 57' 32.36724" N</t>
  </si>
  <si>
    <t>87° 11' 30.91941" W</t>
  </si>
  <si>
    <t>1742'FSL&amp;660'FEL</t>
  </si>
  <si>
    <t>9-5/8"@ 3744'</t>
  </si>
  <si>
    <t>7"@ 15972</t>
  </si>
  <si>
    <t>15558-15741</t>
  </si>
  <si>
    <t>1941 BOPD</t>
  </si>
  <si>
    <t>2046 MCFPD</t>
  </si>
  <si>
    <t>15590-15608</t>
  </si>
  <si>
    <t>13949-14585 6085-6270 3598-39401232-1800 0-120</t>
  </si>
  <si>
    <t>0911320081</t>
  </si>
  <si>
    <t>OG_593</t>
  </si>
  <si>
    <t>SRPC #36-3</t>
  </si>
  <si>
    <t>3S36 5N 29W</t>
  </si>
  <si>
    <t>30° 53' 55.66272" N</t>
  </si>
  <si>
    <t>87° 8' 12.14552" W</t>
  </si>
  <si>
    <t>1320'FSL&amp;1020'FWL</t>
  </si>
  <si>
    <t>10-3/4"@ 3807'</t>
  </si>
  <si>
    <t>7"@ 16176</t>
  </si>
  <si>
    <t>3-1/2"@ 15615'</t>
  </si>
  <si>
    <t>15725-16188</t>
  </si>
  <si>
    <t>15784-15800</t>
  </si>
  <si>
    <t>15585-15869 15095-15490 4749-5095 3610-3940 31-125</t>
  </si>
  <si>
    <t>0911320082</t>
  </si>
  <si>
    <t>OG_594</t>
  </si>
  <si>
    <t>TURNER CORP #30-2</t>
  </si>
  <si>
    <t>26° 32' 26.22296" N</t>
  </si>
  <si>
    <t>81° 33' 28.55708" W</t>
  </si>
  <si>
    <t xml:space="preserve">660'FNL&amp;2099'FWL </t>
  </si>
  <si>
    <t>20"@ 216'</t>
  </si>
  <si>
    <t>13-3/8"@ 1343'</t>
  </si>
  <si>
    <t>9-5/8"@ 3607</t>
  </si>
  <si>
    <t>7"@ 11525</t>
  </si>
  <si>
    <t>2-1/2"@ 6000'</t>
  </si>
  <si>
    <t>11461-11498</t>
  </si>
  <si>
    <t>247 BOPD</t>
  </si>
  <si>
    <t>64 BWPD</t>
  </si>
  <si>
    <t>11444-11456</t>
  </si>
  <si>
    <t>10982-11452 3343-3557 1846-1032 556-950 0-186</t>
  </si>
  <si>
    <t>0905120044</t>
  </si>
  <si>
    <t>OG_595</t>
  </si>
  <si>
    <t>ESTES TIMBER CO #36-3</t>
  </si>
  <si>
    <t>3S36 2N 27W</t>
  </si>
  <si>
    <t>30° 37' 54.59453" N</t>
  </si>
  <si>
    <t>86° 54' 27.80972" W</t>
  </si>
  <si>
    <t>1300'FSL&amp;1700'FWL</t>
  </si>
  <si>
    <t>15"@ 120'</t>
  </si>
  <si>
    <t>10-3/4"@ 4143</t>
  </si>
  <si>
    <t>16244-16468</t>
  </si>
  <si>
    <t>15701-16861 3880-4040 5-40</t>
  </si>
  <si>
    <t>0911320083</t>
  </si>
  <si>
    <t>OG_596</t>
  </si>
  <si>
    <t>R M TRIEN ETAL #1</t>
  </si>
  <si>
    <t>IEL BHCS CNLDN DIP</t>
  </si>
  <si>
    <t>1S14 53S 32E</t>
  </si>
  <si>
    <t>25° 51' 33.12868" N</t>
  </si>
  <si>
    <t>81° 5' 20.54792" W</t>
  </si>
  <si>
    <t>1600'FNL&amp;1600'FEL</t>
  </si>
  <si>
    <t>24"@ 205</t>
  </si>
  <si>
    <t>16"@ 1610'</t>
  </si>
  <si>
    <t>10-3/4"@ 3843'</t>
  </si>
  <si>
    <t>7-5/8"@ 13200'</t>
  </si>
  <si>
    <t>OH 13200-16456</t>
  </si>
  <si>
    <t>12300-13150 4500-5000 0-500</t>
  </si>
  <si>
    <t>0902120017</t>
  </si>
  <si>
    <t>OG_598</t>
  </si>
  <si>
    <t>N L GOLDEN ETAL #23-1</t>
  </si>
  <si>
    <t>DIL BHCS CNLDN CDN CB DP DIR</t>
  </si>
  <si>
    <t>30° 56' 12.60241" N</t>
  </si>
  <si>
    <t>87° 8' 41.68141" W</t>
  </si>
  <si>
    <t xml:space="preserve">660'FNL&amp;1855'FEL </t>
  </si>
  <si>
    <t>10-3/4"@ 3892</t>
  </si>
  <si>
    <t>7"@ 15917</t>
  </si>
  <si>
    <t>2-7/8"@ 15443</t>
  </si>
  <si>
    <t>15482-15914</t>
  </si>
  <si>
    <t>587 BbLSPD</t>
  </si>
  <si>
    <t>1.926MCFPD</t>
  </si>
  <si>
    <t>6185BbLSPD</t>
  </si>
  <si>
    <t>15,524-15,594</t>
  </si>
  <si>
    <t>0911320084</t>
  </si>
  <si>
    <t>OG_599</t>
  </si>
  <si>
    <t>N L GOLDEN #24-2</t>
  </si>
  <si>
    <t>2S24 5N 29W</t>
  </si>
  <si>
    <t>30° 56' 11.74932" N</t>
  </si>
  <si>
    <t>87° 8' 12.69875" W</t>
  </si>
  <si>
    <t>10-3/4"@ 3801'</t>
  </si>
  <si>
    <t>3.5"@ 15450</t>
  </si>
  <si>
    <t>15552-15973</t>
  </si>
  <si>
    <t>1866 BOPD</t>
  </si>
  <si>
    <t>1727 MCFPD</t>
  </si>
  <si>
    <t>15571-15636</t>
  </si>
  <si>
    <t>15450-15709 5480-6400 3492-4010 1220-1800 4-150</t>
  </si>
  <si>
    <t>0911320085</t>
  </si>
  <si>
    <t>OG_600</t>
  </si>
  <si>
    <t>HUMBLE OIL &amp; REFINING CO,EXXON</t>
  </si>
  <si>
    <t>P.E.SHELL ETUX #31-1</t>
  </si>
  <si>
    <t>DIL BHCS DSN DIR</t>
  </si>
  <si>
    <t>1S31 5N 29W</t>
  </si>
  <si>
    <t>30° 55' 20.01348" N</t>
  </si>
  <si>
    <t>87° 9' 30.2612" W</t>
  </si>
  <si>
    <t xml:space="preserve">860'FNL&amp;600'FEL </t>
  </si>
  <si>
    <t>20"@ 87'</t>
  </si>
  <si>
    <t>9-5/8"@ 3793'</t>
  </si>
  <si>
    <t>7"@ 16095</t>
  </si>
  <si>
    <t>3.5"@ 15546</t>
  </si>
  <si>
    <t>15665-15831</t>
  </si>
  <si>
    <t>1555 MCFPD</t>
  </si>
  <si>
    <t>15696-15735</t>
  </si>
  <si>
    <t>14014-15734 13250-14000 6047-6797 3550-3945 1344-1806 13-128</t>
  </si>
  <si>
    <t>0911320086</t>
  </si>
  <si>
    <t>EPA ID # FLS1130031</t>
  </si>
  <si>
    <t>OG_601</t>
  </si>
  <si>
    <t>H A SINGLETARY #13-1</t>
  </si>
  <si>
    <t>1S13 4N 29W</t>
  </si>
  <si>
    <t>30° 51' 35.40697" N</t>
  </si>
  <si>
    <t>87° 5' 44.3188" W</t>
  </si>
  <si>
    <t>0911320087</t>
  </si>
  <si>
    <t>OG_602</t>
  </si>
  <si>
    <t>MARY DOBBS MOORE ETAL #41-3</t>
  </si>
  <si>
    <t>1S41 5N 29W</t>
  </si>
  <si>
    <t>30° 57' 4.17449" N</t>
  </si>
  <si>
    <t>87° 8' 57.51319" W</t>
  </si>
  <si>
    <t>643'FNL&amp;1942'FWL</t>
  </si>
  <si>
    <t>16"@ 91'</t>
  </si>
  <si>
    <t>7"@ 15878'</t>
  </si>
  <si>
    <t>3-1/2"@ 15399'</t>
  </si>
  <si>
    <t>15461-15805</t>
  </si>
  <si>
    <t>1058 BBLS</t>
  </si>
  <si>
    <t>1188 MCF</t>
  </si>
  <si>
    <t>15486-15634</t>
  </si>
  <si>
    <t>0-100, 1188-1602, 3760-4080, 5808-6022, 7652-7873, 15386-15717</t>
  </si>
  <si>
    <t>0911320088</t>
  </si>
  <si>
    <t>OG_603</t>
  </si>
  <si>
    <t>SRPC #29-2</t>
  </si>
  <si>
    <t>2S29 5N 29W</t>
  </si>
  <si>
    <t>30° 55' 19.51045" N</t>
  </si>
  <si>
    <t>87° 8' 11.81952" W</t>
  </si>
  <si>
    <t>660'FNL&amp;860'FWL</t>
  </si>
  <si>
    <t>7"@ 15,995'</t>
  </si>
  <si>
    <t>3-1/2"@ 15470'</t>
  </si>
  <si>
    <t>15550-15780</t>
  </si>
  <si>
    <t>1581 MCFPD</t>
  </si>
  <si>
    <t>15,589-15,720</t>
  </si>
  <si>
    <t>0911320089</t>
  </si>
  <si>
    <t>EPA ID # FLS1130029</t>
  </si>
  <si>
    <t>OG_604</t>
  </si>
  <si>
    <t>MCDAVID LANDS-SRPC #17-4</t>
  </si>
  <si>
    <t>DIL BHCS CNLDN CD</t>
  </si>
  <si>
    <t>4S17 5N 30W</t>
  </si>
  <si>
    <t>30° 56' 39.63404" N</t>
  </si>
  <si>
    <t>87° 15' 19.71896" W</t>
  </si>
  <si>
    <t xml:space="preserve">1279'FSL&amp;1515'FEL </t>
  </si>
  <si>
    <t>10-3/4"@ 3682</t>
  </si>
  <si>
    <t>15730-16120</t>
  </si>
  <si>
    <t>14950-16418 3456-3994 5-60</t>
  </si>
  <si>
    <t>0903320019</t>
  </si>
  <si>
    <t>OG_605</t>
  </si>
  <si>
    <t>MCDAVID LANDS #3-1</t>
  </si>
  <si>
    <t>DIL BHCS CNL CDN GRN DIP DIR</t>
  </si>
  <si>
    <t>1S3 5N 30W</t>
  </si>
  <si>
    <t>30° 58' 52.99014" N</t>
  </si>
  <si>
    <t>87° 13' 1.58365" W</t>
  </si>
  <si>
    <t>847'FNL&amp;170FEL</t>
  </si>
  <si>
    <t>10-3/4"@ 3552</t>
  </si>
  <si>
    <t>7"@ 15826</t>
  </si>
  <si>
    <t>3-1/2"@ 15383</t>
  </si>
  <si>
    <t>15462-15814</t>
  </si>
  <si>
    <t>1362 BOPD</t>
  </si>
  <si>
    <t>8317 MCF</t>
  </si>
  <si>
    <t>.010 BWPD</t>
  </si>
  <si>
    <t>15458-15483</t>
  </si>
  <si>
    <t>15458-15483 14265-14765 5622-6245 3111-3752 1302-1802 50-151</t>
  </si>
  <si>
    <t>0903320020</t>
  </si>
  <si>
    <t>OG_606</t>
  </si>
  <si>
    <t>W B &amp; LOIS BARRON ETAL #16-4</t>
  </si>
  <si>
    <t>IEL DIL BHCS CNLDN</t>
  </si>
  <si>
    <t>4S16 43S 30E</t>
  </si>
  <si>
    <t>26° 44' 19.46337" N</t>
  </si>
  <si>
    <t>81° 19' 47.87462" W</t>
  </si>
  <si>
    <t>1343'FEL&amp;1390'FSL</t>
  </si>
  <si>
    <t>9-5/8"@ 3675</t>
  </si>
  <si>
    <t>11283-11314</t>
  </si>
  <si>
    <t>11175-11425 2418-2618 1150-1400 0-25</t>
  </si>
  <si>
    <t>0905120045</t>
  </si>
  <si>
    <t>OG_607</t>
  </si>
  <si>
    <t>JOHNSON-MALPHURE INC #1</t>
  </si>
  <si>
    <t>3S27 11S 27E</t>
  </si>
  <si>
    <t>29° 30' 44.40049" N</t>
  </si>
  <si>
    <t>81° 34' 7.43513" W</t>
  </si>
  <si>
    <t>2198'FSL&amp;626'FWL</t>
  </si>
  <si>
    <t>20"@ 83'</t>
  </si>
  <si>
    <t>13-3/8"@ 1081</t>
  </si>
  <si>
    <t>9-5/8"@ 2005</t>
  </si>
  <si>
    <t>2105-1705,20-0</t>
  </si>
  <si>
    <t>0910720001</t>
  </si>
  <si>
    <t>OG_608</t>
  </si>
  <si>
    <t>J B STARKEY #1</t>
  </si>
  <si>
    <t>4S16 26S 17E</t>
  </si>
  <si>
    <t>28° 13' 9.91114" N</t>
  </si>
  <si>
    <t>82° 36' 18.33037" W</t>
  </si>
  <si>
    <t>1072'FSL&amp;1482'FEL</t>
  </si>
  <si>
    <t>0910120001</t>
  </si>
  <si>
    <t>608A</t>
  </si>
  <si>
    <t>J B STARKEY #16-4</t>
  </si>
  <si>
    <t>1073'FSL&amp;1482'FEL</t>
  </si>
  <si>
    <t xml:space="preserve">30"@161' </t>
  </si>
  <si>
    <t>20"@420'</t>
  </si>
  <si>
    <t>13-3/8" @1320'</t>
  </si>
  <si>
    <t>9-5/8"@ 2882'</t>
  </si>
  <si>
    <t>6585-6627</t>
  </si>
  <si>
    <t>6690-7740 2682-2982 5-55</t>
  </si>
  <si>
    <t>0910120002</t>
  </si>
  <si>
    <t>OG_609</t>
  </si>
  <si>
    <t>DESOTO</t>
  </si>
  <si>
    <t>SHELL OIL CO</t>
  </si>
  <si>
    <t>PUNTA GORDA ISLES INC #22-1</t>
  </si>
  <si>
    <t>1S22 39S 27E</t>
  </si>
  <si>
    <t>27° 4' 29.55216" N</t>
  </si>
  <si>
    <t>81° 35' 58.88969" W</t>
  </si>
  <si>
    <t>1158'FNL&amp;1467'FEL</t>
  </si>
  <si>
    <t>20"@ 204</t>
  </si>
  <si>
    <t>13-3/8"@ 1402</t>
  </si>
  <si>
    <t>9-5/8"@ 3900</t>
  </si>
  <si>
    <t>10590-12021.5</t>
  </si>
  <si>
    <t>12035-11935,10727-10527,3737-4087,0-180</t>
  </si>
  <si>
    <t>0902720001</t>
  </si>
  <si>
    <t>OG_610</t>
  </si>
  <si>
    <t>ESTES TIMBER CO #11-2</t>
  </si>
  <si>
    <t>2S11 2N 27W</t>
  </si>
  <si>
    <t>30° 41' 53.67426" N</t>
  </si>
  <si>
    <t>86° 55' 20.32188" W</t>
  </si>
  <si>
    <t>1250'FNL&amp;1550'FWL</t>
  </si>
  <si>
    <t>10-3/4"@ 5500'</t>
  </si>
  <si>
    <t>15490-16570 5227-5597 50-150</t>
  </si>
  <si>
    <t>0911320090</t>
  </si>
  <si>
    <t>OG_611</t>
  </si>
  <si>
    <t>SRPC #17-2</t>
  </si>
  <si>
    <t>DIL BHCS CNLDN DP DIR</t>
  </si>
  <si>
    <t>3S17 5N 29W</t>
  </si>
  <si>
    <t>30° 56' 26.60774" N</t>
  </si>
  <si>
    <t>87° 8' 12.99485" W</t>
  </si>
  <si>
    <t>810'FSL&amp;660'FWL</t>
  </si>
  <si>
    <t>9-5/8"@ 3795'</t>
  </si>
  <si>
    <t>7"@ 16005</t>
  </si>
  <si>
    <t>15584-15794</t>
  </si>
  <si>
    <t>2034 BOPD</t>
  </si>
  <si>
    <t>1777 MCFPD</t>
  </si>
  <si>
    <t>1/10 OF 1%</t>
  </si>
  <si>
    <t>15614-15690</t>
  </si>
  <si>
    <t>14664-15435 3634-3871 3273-3800(ANNULUS) 775-1710 5-120</t>
  </si>
  <si>
    <t>0911320091</t>
  </si>
  <si>
    <t>OG_612</t>
  </si>
  <si>
    <t>INDIAN CREEK RANCH INC #1</t>
  </si>
  <si>
    <t>4S24 2N 19W</t>
  </si>
  <si>
    <t>30° 39' 2.36679" N</t>
  </si>
  <si>
    <t>86° 5' 36.73593" W</t>
  </si>
  <si>
    <t>1223'FSL&amp;1289'FEL</t>
  </si>
  <si>
    <t>9-5/8"@ 3131</t>
  </si>
  <si>
    <t>2875-3300 5-50</t>
  </si>
  <si>
    <t>0913120004</t>
  </si>
  <si>
    <t>OG_613</t>
  </si>
  <si>
    <t>TURNER CORP A #11-2</t>
  </si>
  <si>
    <t>2S11 46S 28E</t>
  </si>
  <si>
    <t>26° 29' 45.58985" N</t>
  </si>
  <si>
    <t>81° 29' 43.87589" W</t>
  </si>
  <si>
    <t>1071'FNL&amp;1050'FWL</t>
  </si>
  <si>
    <t>20"@ 205'</t>
  </si>
  <si>
    <t>13-3/8"@ 1313'</t>
  </si>
  <si>
    <t>11508-12612</t>
  </si>
  <si>
    <t>11660-11715</t>
  </si>
  <si>
    <t xml:space="preserve">12328-12628 11264-11664 3450-3650 1203-1265 0-??? </t>
  </si>
  <si>
    <t>0902120018</t>
  </si>
  <si>
    <t>OG_614</t>
  </si>
  <si>
    <t>SRPC #39-3</t>
  </si>
  <si>
    <t>DIL DN-GRN DIR</t>
  </si>
  <si>
    <t>3S39 5N 30W</t>
  </si>
  <si>
    <t>30° 58' 17.22388" N</t>
  </si>
  <si>
    <t>87° 12' 0.53962" W</t>
  </si>
  <si>
    <t>10-3/4"@ 3576'</t>
  </si>
  <si>
    <t>7" @ 15774'</t>
  </si>
  <si>
    <t>3-1/2"@ 15317'</t>
  </si>
  <si>
    <t>15390-15741</t>
  </si>
  <si>
    <t>1165 BOPD</t>
  </si>
  <si>
    <t>1007 MCFPD</t>
  </si>
  <si>
    <t>116 BWPD</t>
  </si>
  <si>
    <t>15432-15498</t>
  </si>
  <si>
    <t>14185-15686 5549-7000 3467-3700 3125-3455 1523-1745 0-68</t>
  </si>
  <si>
    <t>0911320092</t>
  </si>
  <si>
    <t>OG_615</t>
  </si>
  <si>
    <t>RUTHERFORD OIL CORP</t>
  </si>
  <si>
    <t>SRPC B #23-2</t>
  </si>
  <si>
    <t>2S23 3N 27W</t>
  </si>
  <si>
    <t>30° 45' 25.45027" N</t>
  </si>
  <si>
    <t>86° 55' 13.54562" W</t>
  </si>
  <si>
    <t>958'FNL&amp;1320'FWL</t>
  </si>
  <si>
    <t>20"@ 105'</t>
  </si>
  <si>
    <t>10-3/4"@ 3866'</t>
  </si>
  <si>
    <t>15752-15803</t>
  </si>
  <si>
    <t>15212-16212 3562-3662 4-54</t>
  </si>
  <si>
    <t>0911320093</t>
  </si>
  <si>
    <t>OG_616</t>
  </si>
  <si>
    <t>C S MEDLOCK #4-1</t>
  </si>
  <si>
    <t>1S4 5N 31W</t>
  </si>
  <si>
    <t>30° 58' 56.24594" N</t>
  </si>
  <si>
    <t>87° 20' 20.14964" W</t>
  </si>
  <si>
    <t>1320'FNL&amp;1012'FEL</t>
  </si>
  <si>
    <t>9-5/8"@ 3906</t>
  </si>
  <si>
    <t>5-1/2"@ 16455'</t>
  </si>
  <si>
    <t>15860-16259</t>
  </si>
  <si>
    <t>0 BOPD</t>
  </si>
  <si>
    <t>0 MCFD</t>
  </si>
  <si>
    <t>20 BWPH</t>
  </si>
  <si>
    <t>15893-15898,15890-15900,15918-15928</t>
  </si>
  <si>
    <t>15000-16038 30-363 (60-2160 Annulus plug)</t>
  </si>
  <si>
    <t>0903320021</t>
  </si>
  <si>
    <t>OG_617</t>
  </si>
  <si>
    <t>TURNER CORP #12-1</t>
  </si>
  <si>
    <t>1S12 47S 29E</t>
  </si>
  <si>
    <t>26° 24' 29.13707" N</t>
  </si>
  <si>
    <t>81° 22' 21.84668" W</t>
  </si>
  <si>
    <t>1320'FNL&amp;1364'FEL</t>
  </si>
  <si>
    <t>13-3/8"@ 1375'</t>
  </si>
  <si>
    <t>9-5/8"@ 3643</t>
  </si>
  <si>
    <t>11135-11936 3275-3775 10-250</t>
  </si>
  <si>
    <t>0902120019</t>
  </si>
  <si>
    <t>OG_618</t>
  </si>
  <si>
    <t>MCDAVID LANDS #38-1</t>
  </si>
  <si>
    <t>4S1 5N 30W</t>
  </si>
  <si>
    <t>30° 58' 25.23247" N</t>
  </si>
  <si>
    <t>87° 11' 31.53029" W</t>
  </si>
  <si>
    <t>120'FSL&amp;860'FEL</t>
  </si>
  <si>
    <t>16" @ 107'</t>
  </si>
  <si>
    <t>10-3/4"@ 3577'</t>
  </si>
  <si>
    <t>7" @ 15727'</t>
  </si>
  <si>
    <t>3-1/2"@ 15620'</t>
  </si>
  <si>
    <t>15349-15724</t>
  </si>
  <si>
    <t>1885BOPD</t>
  </si>
  <si>
    <t>2001MCF</t>
  </si>
  <si>
    <t>15428-508</t>
  </si>
  <si>
    <t>15362-15544 13700-14002 6103-6300 4380-4593 3348-3722 1182-1783 0-150</t>
  </si>
  <si>
    <t>0911320094</t>
  </si>
  <si>
    <t>OG_619</t>
  </si>
  <si>
    <t>STATE OF FLORIDA #16-2</t>
  </si>
  <si>
    <t xml:space="preserve">JUNKED </t>
  </si>
  <si>
    <t>2S16 49S 31E</t>
  </si>
  <si>
    <t>26° 13' 15.03013" N</t>
  </si>
  <si>
    <t>81° 13' 56.9283" W</t>
  </si>
  <si>
    <t>20"@ 208</t>
  </si>
  <si>
    <t>13-3/8"@ 1364</t>
  </si>
  <si>
    <t>1000-1200 785-??? 0-100</t>
  </si>
  <si>
    <t>0902120020</t>
  </si>
  <si>
    <t>JUNKED HOLE RIG SKIDDED 70' WEST</t>
  </si>
  <si>
    <t>619A</t>
  </si>
  <si>
    <t>LL&amp;EC ETAL</t>
  </si>
  <si>
    <t>STATE OF FLORIDA #16-2A</t>
  </si>
  <si>
    <t>DIL CNLDN TL</t>
  </si>
  <si>
    <t>1320'FNL&amp;1250'FWL</t>
  </si>
  <si>
    <t>20"@ 209</t>
  </si>
  <si>
    <t>13-3/8"@ 1441</t>
  </si>
  <si>
    <t>11386-11795</t>
  </si>
  <si>
    <t>11529-11795</t>
  </si>
  <si>
    <t>SHOW</t>
  </si>
  <si>
    <t>11280-11780 25320-2732 1100-1350 0-25</t>
  </si>
  <si>
    <t>0902120027</t>
  </si>
  <si>
    <t>OG_620</t>
  </si>
  <si>
    <t>LEE COUNTY LAND CO #31-2</t>
  </si>
  <si>
    <t>2S31 46S 32E</t>
  </si>
  <si>
    <t>26° 26' 22.68665" N</t>
  </si>
  <si>
    <t>81° 10' 16.99144" W</t>
  </si>
  <si>
    <t>1193'FNL&amp;1353'FWL</t>
  </si>
  <si>
    <t>13-3/8"@ 1408'</t>
  </si>
  <si>
    <t>11450-11633</t>
  </si>
  <si>
    <t>11190-11690 3465-3720 1250-1350 0-25</t>
  </si>
  <si>
    <t>0905120046</t>
  </si>
  <si>
    <t>OG_621</t>
  </si>
  <si>
    <t>JOSEPH A CREWS #11-4</t>
  </si>
  <si>
    <t>4S11 4N 29W</t>
  </si>
  <si>
    <t>30° 51' 59.40994" N</t>
  </si>
  <si>
    <t>87° 6' 48.66559" W</t>
  </si>
  <si>
    <t>660'FSL&amp;1995'FEL</t>
  </si>
  <si>
    <t>0911320095</t>
  </si>
  <si>
    <t>OG_622</t>
  </si>
  <si>
    <t>SRPC #15-1</t>
  </si>
  <si>
    <t>1S15 4N 29W</t>
  </si>
  <si>
    <t>30° 51' 47.97943" N</t>
  </si>
  <si>
    <t>87° 7' 34.98258" W</t>
  </si>
  <si>
    <t>16"@ 95</t>
  </si>
  <si>
    <t>9-5/8"@ 3845</t>
  </si>
  <si>
    <t>7"@ 16238</t>
  </si>
  <si>
    <t>3-1/2"@ 15727</t>
  </si>
  <si>
    <t>15827-16007</t>
  </si>
  <si>
    <t>2492 BOPD</t>
  </si>
  <si>
    <t>23 BWPD</t>
  </si>
  <si>
    <t>15818-15891</t>
  </si>
  <si>
    <t>0-100, 1319-1845, 3355-4152, 5184-5982, 14548-15880</t>
  </si>
  <si>
    <t>0911320096</t>
  </si>
  <si>
    <t>OG_623</t>
  </si>
  <si>
    <t>W.W.FOSKETT #24-3</t>
  </si>
  <si>
    <t>3S24 4N 29W</t>
  </si>
  <si>
    <t>30° 50' 28.13328" N</t>
  </si>
  <si>
    <t>87° 6' 5.57337" W</t>
  </si>
  <si>
    <t>1980'FSL&amp;2011'FWL</t>
  </si>
  <si>
    <t>16"@ 96'</t>
  </si>
  <si>
    <t>9-5/8"@ 4090'</t>
  </si>
  <si>
    <t>7"@ 16021</t>
  </si>
  <si>
    <t>15842-16023</t>
  </si>
  <si>
    <t>2136 BOPD</t>
  </si>
  <si>
    <t>1938 MCFPD</t>
  </si>
  <si>
    <t>33 BWPD</t>
  </si>
  <si>
    <t>15865-15940</t>
  </si>
  <si>
    <t>15018-15940</t>
  </si>
  <si>
    <t>0911320097</t>
  </si>
  <si>
    <t>EPA ID # FLS1130008</t>
  </si>
  <si>
    <t>OG_624</t>
  </si>
  <si>
    <t>C.M.SMITH #21-2</t>
  </si>
  <si>
    <t>DRY HOLE/INJ</t>
  </si>
  <si>
    <t>DIL BHCS CNLDN GRN RL CNL DIR</t>
  </si>
  <si>
    <t>2S21 5N 29W</t>
  </si>
  <si>
    <t>30° 56' 17.07875" N</t>
  </si>
  <si>
    <t>87° 11' 0.76808" W</t>
  </si>
  <si>
    <t>660'FNL&amp;2058'FWL</t>
  </si>
  <si>
    <t>9-5/8"@ 3835</t>
  </si>
  <si>
    <t>3-1/2"@ 15521</t>
  </si>
  <si>
    <t>15700-15890</t>
  </si>
  <si>
    <t>15736-15743</t>
  </si>
  <si>
    <t>15831-15870 14489-15742 6028-6801 3538-4044 1233-1811 0-134</t>
  </si>
  <si>
    <t>0911320098</t>
  </si>
  <si>
    <t>EPA ID # FLS1130045</t>
  </si>
  <si>
    <t>OG_625</t>
  </si>
  <si>
    <t>CONSOLIDATED NAVAL STORES CO #2-1</t>
  </si>
  <si>
    <t>1S2 46S 27E</t>
  </si>
  <si>
    <t>26° 30' 34.30202" N</t>
  </si>
  <si>
    <t>81° 35' 1.99619" W</t>
  </si>
  <si>
    <t>1320'FNL&amp;1320'FEL</t>
  </si>
  <si>
    <t>13-3/8"@ 1396'</t>
  </si>
  <si>
    <t>9-5/8"@ 3628'</t>
  </si>
  <si>
    <t>11400-11808 3423-3623 0-150</t>
  </si>
  <si>
    <t>0907120025</t>
  </si>
  <si>
    <t>OG_626</t>
  </si>
  <si>
    <t>PEADEN-RVERS #14-4</t>
  </si>
  <si>
    <t>4S14 3N 27W</t>
  </si>
  <si>
    <t>30° 45' 44.11915" N</t>
  </si>
  <si>
    <t>86° 54' 44.58168" W</t>
  </si>
  <si>
    <t>1041'FSL&amp;1376'FEL</t>
  </si>
  <si>
    <t>0911320099</t>
  </si>
  <si>
    <t>OG_627</t>
  </si>
  <si>
    <t>J.E.JACKSON #40-4</t>
  </si>
  <si>
    <t>DIL CNL DIR</t>
  </si>
  <si>
    <t>4S40 5N 30W</t>
  </si>
  <si>
    <t>30° 57' 35.424" N</t>
  </si>
  <si>
    <t>87° 12' 0.02684" W</t>
  </si>
  <si>
    <t xml:space="preserve">1982'FSL&amp;660'FEL </t>
  </si>
  <si>
    <t>5-1/2"@ 15828'</t>
  </si>
  <si>
    <t>2-7/8"@ 15538'</t>
  </si>
  <si>
    <t>15622-15767</t>
  </si>
  <si>
    <t>INITIAL PROD</t>
  </si>
  <si>
    <t>1337 BOPD</t>
  </si>
  <si>
    <t>2256 MCFPD</t>
  </si>
  <si>
    <t>15,656'- 15,710'</t>
  </si>
  <si>
    <t>0911320100</t>
  </si>
  <si>
    <t>EPA ID # FLS1130038</t>
  </si>
  <si>
    <t>OG_628</t>
  </si>
  <si>
    <t>ALBERT L ROSASCO ETAL #29-2</t>
  </si>
  <si>
    <t>2S29 4N 28W</t>
  </si>
  <si>
    <t>30° 49' 50.31791" N</t>
  </si>
  <si>
    <t>87° 4' 15.95801" W</t>
  </si>
  <si>
    <t>1635'FNL&amp;1100'FWL</t>
  </si>
  <si>
    <t>10-3/4"@3814'</t>
  </si>
  <si>
    <t>14533-16033 3640-4090 3440-3590 40-190</t>
  </si>
  <si>
    <t>0911320101</t>
  </si>
  <si>
    <t>OG_629</t>
  </si>
  <si>
    <t>AMOCO PRODUCTION CO</t>
  </si>
  <si>
    <t>ARNOLD INDUSTRIES INC #1</t>
  </si>
  <si>
    <t>DIL BHCS CNLDN CDN TL</t>
  </si>
  <si>
    <t>3S5 24S 25E</t>
  </si>
  <si>
    <t>28° 25' 20.38514" N</t>
  </si>
  <si>
    <t>81° 49' 58.03922" W</t>
  </si>
  <si>
    <t xml:space="preserve">859'FSL&amp;1979'FWL </t>
  </si>
  <si>
    <t>20"@ 102'</t>
  </si>
  <si>
    <t>13-3/8"@ 1371</t>
  </si>
  <si>
    <t>9-5/8"@ 2500</t>
  </si>
  <si>
    <t>5600-5300,2550-2375,1000-750,100-0</t>
  </si>
  <si>
    <t>0906920002</t>
  </si>
  <si>
    <t>OG_630</t>
  </si>
  <si>
    <t>DAVID K BROOKS</t>
  </si>
  <si>
    <t>BRUCE B BLOUNT #1</t>
  </si>
  <si>
    <t>2S26 38S 29E</t>
  </si>
  <si>
    <t>27° 8' 44.93479" N</t>
  </si>
  <si>
    <t>81° 23' 34.4666" W</t>
  </si>
  <si>
    <t>1442'FNL&amp;1709'FWL</t>
  </si>
  <si>
    <t>0905520001</t>
  </si>
  <si>
    <t>OG_631</t>
  </si>
  <si>
    <t>GCRC #22-3</t>
  </si>
  <si>
    <t>3S22 48S 29E</t>
  </si>
  <si>
    <t>26° 17' 2.07417" N</t>
  </si>
  <si>
    <t>81° 24' 42.60723" W</t>
  </si>
  <si>
    <t>1331'FSL&amp;1320'FWL</t>
  </si>
  <si>
    <t>13-3/8"@ 1356'</t>
  </si>
  <si>
    <t>9-5/8"@ 3612'</t>
  </si>
  <si>
    <t>11440-11940 3397-3597 4-150</t>
  </si>
  <si>
    <t>0902120021</t>
  </si>
  <si>
    <t>OG_632</t>
  </si>
  <si>
    <t>T M HENDRICKS ETAL #27-3</t>
  </si>
  <si>
    <t>3S27 6N 29W</t>
  </si>
  <si>
    <t>30° 58' 59.44357" N</t>
  </si>
  <si>
    <t>87° 7' 32.192" W</t>
  </si>
  <si>
    <t>10-3/4"@3780'</t>
  </si>
  <si>
    <t>7"@15190'</t>
  </si>
  <si>
    <t>2-7/8" 14900'</t>
  </si>
  <si>
    <t>14841-15171 CHIPS</t>
  </si>
  <si>
    <t>15153-15164</t>
  </si>
  <si>
    <t>1757 BOPD</t>
  </si>
  <si>
    <t>1209 MCFPD</t>
  </si>
  <si>
    <t>15046-15090</t>
  </si>
  <si>
    <t>14670-14960 2780-3680 6-160</t>
  </si>
  <si>
    <t>0911320102</t>
  </si>
  <si>
    <t>OG_633</t>
  </si>
  <si>
    <t>RED CATTLE CO A #25-3</t>
  </si>
  <si>
    <t>3S25 45S 28E</t>
  </si>
  <si>
    <t>26° 31' 49.7492" N</t>
  </si>
  <si>
    <t>81° 28' 47.937" W</t>
  </si>
  <si>
    <t xml:space="preserve">1034'FSL&amp;994'FWL </t>
  </si>
  <si>
    <t>20"@ 197'</t>
  </si>
  <si>
    <t>13-3/8"@ 1410'</t>
  </si>
  <si>
    <t>9-5/8"@ 3564'</t>
  </si>
  <si>
    <t>11350-11678 9450-9650 3464-3664 0-50</t>
  </si>
  <si>
    <t>0905120048</t>
  </si>
  <si>
    <t>OG_634</t>
  </si>
  <si>
    <t>T W HUNTER ETAL #30-3</t>
  </si>
  <si>
    <t>3S30 5N 29W</t>
  </si>
  <si>
    <t>30° 54' 55.65157" N</t>
  </si>
  <si>
    <t>87° 9' 2.23096" W</t>
  </si>
  <si>
    <t xml:space="preserve">1932'FSL&amp;1842'FWL </t>
  </si>
  <si>
    <t>0911320103</t>
  </si>
  <si>
    <t>634A</t>
  </si>
  <si>
    <t>0911320124</t>
  </si>
  <si>
    <t>Renewal of P# 634</t>
  </si>
  <si>
    <t>OG_635</t>
  </si>
  <si>
    <t>D BOUTWELL ETAL #22-3</t>
  </si>
  <si>
    <t>DIL BHCS DIR</t>
  </si>
  <si>
    <t>3S22 5N 29W</t>
  </si>
  <si>
    <t>30° 55' 49.29386" N</t>
  </si>
  <si>
    <t>87° 10' 0.37638" W</t>
  </si>
  <si>
    <t xml:space="preserve">1955'FSL&amp;2008'FWL </t>
  </si>
  <si>
    <t>10-3/4"@3855'</t>
  </si>
  <si>
    <t>7"@15850'</t>
  </si>
  <si>
    <t>2-7/8" 15681'</t>
  </si>
  <si>
    <t>15695-15814</t>
  </si>
  <si>
    <t>1498 BOPD</t>
  </si>
  <si>
    <t>1339 MCFPD</t>
  </si>
  <si>
    <t>259 BWPD</t>
  </si>
  <si>
    <t>15728-15733</t>
  </si>
  <si>
    <t>15370-15763 4005-3715 3472-3676 1258-1521 12-72</t>
  </si>
  <si>
    <t>0911320104</t>
  </si>
  <si>
    <t>OG_636</t>
  </si>
  <si>
    <t>A T &amp; W S ROSASCO #19-2</t>
  </si>
  <si>
    <t>2S19 4N 28W</t>
  </si>
  <si>
    <t>30° 50' 41.92938" N</t>
  </si>
  <si>
    <t>87° 5' 19.6498" W</t>
  </si>
  <si>
    <t>1824'FNL &amp; 660'FWL</t>
  </si>
  <si>
    <t>9-5/8"@ 3788'</t>
  </si>
  <si>
    <t>7"@ 16190</t>
  </si>
  <si>
    <t>3-1/2"@15651'</t>
  </si>
  <si>
    <t>15772-15940</t>
  </si>
  <si>
    <t>2488 BOPD</t>
  </si>
  <si>
    <t>2095 MCFPD</t>
  </si>
  <si>
    <t>15791-15841</t>
  </si>
  <si>
    <t>0-100, 1170-1637, 3580-4088,6025-6250,15068-15941</t>
  </si>
  <si>
    <t>0911320105</t>
  </si>
  <si>
    <t>OG_637</t>
  </si>
  <si>
    <t>ROSASCO #7-1</t>
  </si>
  <si>
    <t>1S7 4N 28W</t>
  </si>
  <si>
    <t>30° 52' 30.40045" N</t>
  </si>
  <si>
    <t>87° 4' 42.84412" W</t>
  </si>
  <si>
    <t>1320'FNL&amp;1670'FEL</t>
  </si>
  <si>
    <t>1255FNL&amp;1643FEL</t>
  </si>
  <si>
    <t>10-3/4"@3864'</t>
  </si>
  <si>
    <t>15147-15365</t>
  </si>
  <si>
    <t>14700-15720 3643-4075 5-50</t>
  </si>
  <si>
    <t>0911320106</t>
  </si>
  <si>
    <t>OG_638</t>
  </si>
  <si>
    <t>ROSASCO #17-4</t>
  </si>
  <si>
    <t>4S17 4N 28W</t>
  </si>
  <si>
    <t>30° 51' 10.68829" N</t>
  </si>
  <si>
    <t>87° 3' 45.23411" W</t>
  </si>
  <si>
    <t>1320'FSL&amp;1670'FEL</t>
  </si>
  <si>
    <t>0911320107</t>
  </si>
  <si>
    <t>OG_639</t>
  </si>
  <si>
    <t>SRPC #7-2</t>
  </si>
  <si>
    <t>2S7 3N 29W</t>
  </si>
  <si>
    <t>30° 47' 27.52091" N</t>
  </si>
  <si>
    <t>87° 11' 24.99817" W</t>
  </si>
  <si>
    <t xml:space="preserve">1077'FNL&amp;1042'FWL </t>
  </si>
  <si>
    <t>10-3/4"@ 4050'</t>
  </si>
  <si>
    <t>16728-17101</t>
  </si>
  <si>
    <t>17150-15900,4150-3950,3904-25</t>
  </si>
  <si>
    <t>0911320108</t>
  </si>
  <si>
    <t>OG_640</t>
  </si>
  <si>
    <t>GCRC #1-3</t>
  </si>
  <si>
    <t>3S1 49S 30E</t>
  </si>
  <si>
    <t>26° 13' 56.62654" N</t>
  </si>
  <si>
    <t>81° 16' 52.35118" W</t>
  </si>
  <si>
    <t xml:space="preserve">1484'FSL&amp;842'FWL </t>
  </si>
  <si>
    <t>13-3/8"@ 1662'</t>
  </si>
  <si>
    <t>9-5/8"@ 3595'</t>
  </si>
  <si>
    <t>7"@ 11896'</t>
  </si>
  <si>
    <t>3-1/2"@ 5500'</t>
  </si>
  <si>
    <t>11439-11647</t>
  </si>
  <si>
    <t>162 BOPD</t>
  </si>
  <si>
    <t>O</t>
  </si>
  <si>
    <t>11575-11580,11582-11586,11589-11594</t>
  </si>
  <si>
    <t>9189-9942 3281-3517 1029-2133 692-842 375-525 4-115</t>
  </si>
  <si>
    <t>0902120022</t>
  </si>
  <si>
    <t>OG_641</t>
  </si>
  <si>
    <t>GCRC #2-3</t>
  </si>
  <si>
    <t>IEL BHCS DIP TL</t>
  </si>
  <si>
    <t>3S2 49S 30E</t>
  </si>
  <si>
    <t>26° 13' 55.6284" N</t>
  </si>
  <si>
    <t>81° 17' 44.3688" W</t>
  </si>
  <si>
    <t xml:space="preserve">1416'FSL&amp;1157'FWL </t>
  </si>
  <si>
    <t>20"@ 94'</t>
  </si>
  <si>
    <t>13-3/8"@ 1661'</t>
  </si>
  <si>
    <t>7"@11880'</t>
  </si>
  <si>
    <t>199 BOPD</t>
  </si>
  <si>
    <t>541 BWPD</t>
  </si>
  <si>
    <t>11607-11612</t>
  </si>
  <si>
    <t>11198-11725 3760-3952?? 1075-2162 295-831 0-120</t>
  </si>
  <si>
    <t>0902120023</t>
  </si>
  <si>
    <t>EPA ID# FLS 0210003</t>
  </si>
  <si>
    <t>OG_642</t>
  </si>
  <si>
    <t>GCRC #11-2</t>
  </si>
  <si>
    <t>2S11 49S 30E</t>
  </si>
  <si>
    <t>26° 13' 31.24675" N</t>
  </si>
  <si>
    <t>81° 15' 59.58396" W</t>
  </si>
  <si>
    <t xml:space="preserve">1068'FNL&amp;760'FWL </t>
  </si>
  <si>
    <t>0902120024</t>
  </si>
  <si>
    <t>642A</t>
  </si>
  <si>
    <t>0902120030</t>
  </si>
  <si>
    <t>OG_643</t>
  </si>
  <si>
    <t>EXXON</t>
  </si>
  <si>
    <t>GCRC #12-2</t>
  </si>
  <si>
    <t>2S12 49S 30E</t>
  </si>
  <si>
    <t>26° 13' 29.18017" N</t>
  </si>
  <si>
    <t>81° 16' 44.65258" W</t>
  </si>
  <si>
    <t>1320'FNL&amp;1493'FWL</t>
  </si>
  <si>
    <t>0902120025</t>
  </si>
  <si>
    <t>643A</t>
  </si>
  <si>
    <t>0902120031</t>
  </si>
  <si>
    <t>OG_644</t>
  </si>
  <si>
    <t>RUDMAN RESOURCES INC</t>
  </si>
  <si>
    <t>FIRST NATIONAL BANK OF AKRON #31-2</t>
  </si>
  <si>
    <t>2S31 2N 15W</t>
  </si>
  <si>
    <t>30° 32' 23.89877" N</t>
  </si>
  <si>
    <t>85° 47' 7.36379" W</t>
  </si>
  <si>
    <t>920'FNL&amp;1320'FWL</t>
  </si>
  <si>
    <t>13-3/8"@ 450'</t>
  </si>
  <si>
    <t>9-5/8"@ 3048'</t>
  </si>
  <si>
    <t>2820-3200 5-50</t>
  </si>
  <si>
    <t>0913320002</t>
  </si>
  <si>
    <t>OG_645</t>
  </si>
  <si>
    <t>LADI #24-1</t>
  </si>
  <si>
    <t>1S24 45S 27E</t>
  </si>
  <si>
    <t>26° 33' 12.40253" N</t>
  </si>
  <si>
    <t>81° 34' 1.83885" W</t>
  </si>
  <si>
    <t>1271'FNL&amp;950'FEL</t>
  </si>
  <si>
    <t>13-3/8"@ 1325'</t>
  </si>
  <si>
    <t>1139-1450 10-250</t>
  </si>
  <si>
    <t>0907120026</t>
  </si>
  <si>
    <t>HOLE COLLAPSED RIG SKIDDED 140 NORTH</t>
  </si>
  <si>
    <t>645A</t>
  </si>
  <si>
    <t>LADI #24-1B</t>
  </si>
  <si>
    <t>26° 33' 13.76885" N</t>
  </si>
  <si>
    <t>81° 34' 1.68294" W</t>
  </si>
  <si>
    <t>1131'FNL&amp;950'FEL</t>
  </si>
  <si>
    <t>13-3/8"@ 1352'</t>
  </si>
  <si>
    <t>1135-1485 10-250</t>
  </si>
  <si>
    <t>0907120028</t>
  </si>
  <si>
    <t>HOLE COLLAPSED RIG MOVED TO HENDRY COUNTY</t>
  </si>
  <si>
    <t>645B</t>
  </si>
  <si>
    <t>LADI #24-1C</t>
  </si>
  <si>
    <t>IEL BHCS GRN</t>
  </si>
  <si>
    <t>2S19 45S 28E</t>
  </si>
  <si>
    <t>26° 33' 13.22553" N</t>
  </si>
  <si>
    <t>81° 33' 50.32883" W</t>
  </si>
  <si>
    <t>1200'FNL&amp;150'FWL Sec 19</t>
  </si>
  <si>
    <t>1200'FNL &amp;1000'FEL Sec 24</t>
  </si>
  <si>
    <t>13-3/8"@ 1342'</t>
  </si>
  <si>
    <t>7"@11700'</t>
  </si>
  <si>
    <t>3-1/2"@5500'</t>
  </si>
  <si>
    <t>11731-11791</t>
  </si>
  <si>
    <t>999 BOPD</t>
  </si>
  <si>
    <t>37 BWPD</t>
  </si>
  <si>
    <t>11558-11566</t>
  </si>
  <si>
    <t>11365-11552 8245-8750 6820-7510</t>
  </si>
  <si>
    <t>0905120051</t>
  </si>
  <si>
    <t>645C</t>
  </si>
  <si>
    <t>EXXON, CALUMET</t>
  </si>
  <si>
    <t>LADI #24-1D</t>
  </si>
  <si>
    <t>1000'FNL &amp;1500'FEL Sec 24</t>
  </si>
  <si>
    <t>7"@11789'</t>
  </si>
  <si>
    <t>2-7/8"@11330'</t>
  </si>
  <si>
    <t>155 BOPD</t>
  </si>
  <si>
    <t>117 BSWPD</t>
  </si>
  <si>
    <t>11733-11758</t>
  </si>
  <si>
    <t>11720-11778</t>
  </si>
  <si>
    <t>0905120051-01</t>
  </si>
  <si>
    <t>645DH</t>
  </si>
  <si>
    <t>CFI-LADC 24-1DH</t>
  </si>
  <si>
    <t>CBL GR CCL MUD</t>
  </si>
  <si>
    <t>293FNL&amp;999FEL Sec 24</t>
  </si>
  <si>
    <t>9-5/8"@ 3584'</t>
  </si>
  <si>
    <t>7"@11680'</t>
  </si>
  <si>
    <t>3-1/2"@10960'</t>
  </si>
  <si>
    <t>11,680-12,628</t>
  </si>
  <si>
    <t>26 BOPD</t>
  </si>
  <si>
    <t>2.6 MCFD</t>
  </si>
  <si>
    <t>2719 BWPD</t>
  </si>
  <si>
    <t>OH 11732-12628 MD</t>
  </si>
  <si>
    <t>0905120051-02</t>
  </si>
  <si>
    <t>OG_646</t>
  </si>
  <si>
    <t>BARRON COLLIER JR ETAL #24-4</t>
  </si>
  <si>
    <t>4S24 50S 30E</t>
  </si>
  <si>
    <t>26° 6' 4.75565" N</t>
  </si>
  <si>
    <t>81° 16' 11.99963" W</t>
  </si>
  <si>
    <t>1485'FSL&amp;1720'FEL</t>
  </si>
  <si>
    <t>20"@ 236'</t>
  </si>
  <si>
    <t>13-3/8"@ 1402'</t>
  </si>
  <si>
    <t>11497-11997 3465-3565 0-150</t>
  </si>
  <si>
    <t>0902120026</t>
  </si>
  <si>
    <t>OG_647</t>
  </si>
  <si>
    <t>R SCHNEIDER ETAL #1</t>
  </si>
  <si>
    <t>DIL BHCS CNLDN FLDN CD</t>
  </si>
  <si>
    <t>1S18 4N 32W</t>
  </si>
  <si>
    <t>30° 52' 9.85213" N</t>
  </si>
  <si>
    <t>87° 28' 33.36957" W</t>
  </si>
  <si>
    <t>1000'FNL&amp;1102'FEL</t>
  </si>
  <si>
    <t>24"@ 121'</t>
  </si>
  <si>
    <t>16"@ 176</t>
  </si>
  <si>
    <t>10-3/4"@4306'</t>
  </si>
  <si>
    <t>7-5/8"@ 16044'</t>
  </si>
  <si>
    <t>CHIPS</t>
  </si>
  <si>
    <t>15733-16233 4363-4493 4046-4306 4-25</t>
  </si>
  <si>
    <t>0903320022</t>
  </si>
  <si>
    <t>OG_648</t>
  </si>
  <si>
    <t>LADI #25-3</t>
  </si>
  <si>
    <t>3S25 44S 26E</t>
  </si>
  <si>
    <t>26° 36' 54.48551" N</t>
  </si>
  <si>
    <t>81° 40' 29.9314" W</t>
  </si>
  <si>
    <t>1156'FWL&amp;509'FSL</t>
  </si>
  <si>
    <t>13-3/8"@ 1380'</t>
  </si>
  <si>
    <t>9-5/8"@ 3618'</t>
  </si>
  <si>
    <t>11356-11443</t>
  </si>
  <si>
    <t>11250-11650 3532-???? 10-245</t>
  </si>
  <si>
    <t>0907120027</t>
  </si>
  <si>
    <t>OG_649</t>
  </si>
  <si>
    <t>UNION</t>
  </si>
  <si>
    <t>GETTY OIL CO</t>
  </si>
  <si>
    <t>K O DICKS ETAL #20-8</t>
  </si>
  <si>
    <t>1S20 5S 18E</t>
  </si>
  <si>
    <t>30° 2' 32.07134" N</t>
  </si>
  <si>
    <t>82° 31' 42.79818" W</t>
  </si>
  <si>
    <t>1977'FNL&amp;660'FEL</t>
  </si>
  <si>
    <t>16"@ 79</t>
  </si>
  <si>
    <t>9-5/8"@ 1502</t>
  </si>
  <si>
    <t>1550-1350, 63-13</t>
  </si>
  <si>
    <t>0912520001</t>
  </si>
  <si>
    <t>OG_650</t>
  </si>
  <si>
    <t>RALEIGH BIELLING #4-1</t>
  </si>
  <si>
    <t>1S4 6S 18E</t>
  </si>
  <si>
    <t>30° 0' 9.61974" N</t>
  </si>
  <si>
    <t>82° 30' 43.55644" W</t>
  </si>
  <si>
    <t>509'FNL&amp;658'FEL</t>
  </si>
  <si>
    <t>9-5/8"@ 1536</t>
  </si>
  <si>
    <t>1586-1386,50-4</t>
  </si>
  <si>
    <t>0912520002</t>
  </si>
  <si>
    <t>OG_651</t>
  </si>
  <si>
    <t>OWENS-ILLINOIS #28-7</t>
  </si>
  <si>
    <t>1S28 3S 17E</t>
  </si>
  <si>
    <t>30° 12' 8.31534" N</t>
  </si>
  <si>
    <t>82° 36' 51.85988" W</t>
  </si>
  <si>
    <t>1979'FNL&amp;1971'FEL</t>
  </si>
  <si>
    <t>0902320004</t>
  </si>
  <si>
    <t>OG_652</t>
  </si>
  <si>
    <t>HOLMES-MORRISON-MELTON #4-14</t>
  </si>
  <si>
    <t>3S4 3S 17E</t>
  </si>
  <si>
    <t>30° 15' 10.82272" N</t>
  </si>
  <si>
    <t>82° 37' 11.3471" W</t>
  </si>
  <si>
    <t>663'FSL&amp;1991'FWL</t>
  </si>
  <si>
    <t>0902320005</t>
  </si>
  <si>
    <t>OG_653</t>
  </si>
  <si>
    <t>HOLMES-MORRISON-MELTON #21-8</t>
  </si>
  <si>
    <t>1S21 3S 17E</t>
  </si>
  <si>
    <t>30° 13' 0.33885" N</t>
  </si>
  <si>
    <t>82° 36' 37.91356" W</t>
  </si>
  <si>
    <t>1977'FNL&amp;669'FEL</t>
  </si>
  <si>
    <t>9-5/8"@ 1494'</t>
  </si>
  <si>
    <t>1540-1340,63-13</t>
  </si>
  <si>
    <t>0902320006</t>
  </si>
  <si>
    <t>OG_654</t>
  </si>
  <si>
    <t>FRANCES P RIPLEY ETAL #5-1</t>
  </si>
  <si>
    <t>1S5 5S 18E</t>
  </si>
  <si>
    <t>30° 5' 24.43056" N</t>
  </si>
  <si>
    <t>82° 31' 42.06965" W</t>
  </si>
  <si>
    <t>560'FNL&amp;665'FEL</t>
  </si>
  <si>
    <t>0902320007</t>
  </si>
  <si>
    <t>OG_655</t>
  </si>
  <si>
    <t>RED CATTLE CO B #19-2</t>
  </si>
  <si>
    <t>26° 33' 5.422" N</t>
  </si>
  <si>
    <t>81° 33' 41.1332" W</t>
  </si>
  <si>
    <t xml:space="preserve">1988'FNL&amp;920'FWL </t>
  </si>
  <si>
    <t>20"@ 213'</t>
  </si>
  <si>
    <t>13-3/8"@ 1319'</t>
  </si>
  <si>
    <t>5-1/2"@ 15567'</t>
  </si>
  <si>
    <t>11457-11493</t>
  </si>
  <si>
    <t>672 BOPD</t>
  </si>
  <si>
    <t>7.6 MCFPD</t>
  </si>
  <si>
    <t>52 BWPD</t>
  </si>
  <si>
    <t>11454-11462</t>
  </si>
  <si>
    <t>11462-11263,3473-3210, 1995-1121, 975-600, 120-4</t>
  </si>
  <si>
    <t>0905120049</t>
  </si>
  <si>
    <t>OG_656</t>
  </si>
  <si>
    <t>HOLLAND UNIT #23-4</t>
  </si>
  <si>
    <t>4S23 4N 29W</t>
  </si>
  <si>
    <t>30° 50' 25.92899" N</t>
  </si>
  <si>
    <t>87° 6' 36.25319" W</t>
  </si>
  <si>
    <t>1740'FSL&amp;660'FEL</t>
  </si>
  <si>
    <t>0911320109</t>
  </si>
  <si>
    <t>OG_657</t>
  </si>
  <si>
    <t>C &amp; K PETROLEUM INC ETAL</t>
  </si>
  <si>
    <t>INGRAM L WARD #6-2</t>
  </si>
  <si>
    <t>2S6 3N 28W</t>
  </si>
  <si>
    <t>30° 48' 11.02914" N</t>
  </si>
  <si>
    <t>87° 5' 18.01543" W</t>
  </si>
  <si>
    <t xml:space="preserve">1173'FNL&amp;1132'FWL </t>
  </si>
  <si>
    <t>16"@ 82</t>
  </si>
  <si>
    <t>9-5/8"@ 3942'</t>
  </si>
  <si>
    <t>16230-16340 CHIPS</t>
  </si>
  <si>
    <t>15730-16778 3792-4042 0-25</t>
  </si>
  <si>
    <t>0911320110</t>
  </si>
  <si>
    <t>OG_658</t>
  </si>
  <si>
    <t>MCDAVID LANDS #34-1</t>
  </si>
  <si>
    <t>1S33 6N 29W</t>
  </si>
  <si>
    <t>30° 59' 26.83346" N</t>
  </si>
  <si>
    <t>87° 9' 32.21494" W</t>
  </si>
  <si>
    <t>1943'FNL&amp;1291'FEL</t>
  </si>
  <si>
    <t>20"@ 108</t>
  </si>
  <si>
    <t>10-3/4"@3789'</t>
  </si>
  <si>
    <t>7"@15830'</t>
  </si>
  <si>
    <t>3-1/2"@15313'</t>
  </si>
  <si>
    <t>15311-15506</t>
  </si>
  <si>
    <t>2050 MCFPD</t>
  </si>
  <si>
    <t>108 BWPD</t>
  </si>
  <si>
    <t>15444-15498</t>
  </si>
  <si>
    <t>0911320111</t>
  </si>
  <si>
    <t>EPA ID # FLS1130034</t>
  </si>
  <si>
    <t>OG_659</t>
  </si>
  <si>
    <t>H A SINGLETARY #13-N</t>
  </si>
  <si>
    <t>30° 51' 38.80616" N</t>
  </si>
  <si>
    <t>87° 5' 55.36823" W</t>
  </si>
  <si>
    <t>1392'FNL&amp;2583'FEL</t>
  </si>
  <si>
    <t>1432FNL&amp;2498FEL</t>
  </si>
  <si>
    <t>16" 106'</t>
  </si>
  <si>
    <t>9-5/8" @ 4281'</t>
  </si>
  <si>
    <t>7"@ 16102</t>
  </si>
  <si>
    <t>3-1/2"@15716'</t>
  </si>
  <si>
    <t>15840-12100</t>
  </si>
  <si>
    <t>2556 BOPD</t>
  </si>
  <si>
    <t>2995 MCFPD</t>
  </si>
  <si>
    <t>15876-15935</t>
  </si>
  <si>
    <t>0-100, 1415-1865, 2943-3355, 3908-4581, 4751-5150, est. 5866-7920</t>
  </si>
  <si>
    <t>0911320112</t>
  </si>
  <si>
    <t>EPA ID # FLS1120072/FLI0038</t>
  </si>
  <si>
    <t>OG_660</t>
  </si>
  <si>
    <t>WOLFE-HENDRICKS #36-1</t>
  </si>
  <si>
    <t>1S36 6N 29W</t>
  </si>
  <si>
    <t>30° 59' 24.12655" N</t>
  </si>
  <si>
    <t>87° 7' 44.86953" W</t>
  </si>
  <si>
    <t>2010'FNL&amp;2834'FWL</t>
  </si>
  <si>
    <t>2091 FNL&amp;2883 FWL</t>
  </si>
  <si>
    <t>16" 105'</t>
  </si>
  <si>
    <t>10-3/4"@3830'</t>
  </si>
  <si>
    <t>2-7/8" 14700'</t>
  </si>
  <si>
    <t>14817-15012 15034-15198</t>
  </si>
  <si>
    <t>15054-15085</t>
  </si>
  <si>
    <t>14382-14602 3500-4100 1600-2200 0-1600</t>
  </si>
  <si>
    <t>0911320113</t>
  </si>
  <si>
    <t>OG_661</t>
  </si>
  <si>
    <t>MOSBACHER ETAL</t>
  </si>
  <si>
    <t>TRMMCI #32-9</t>
  </si>
  <si>
    <t>4S32 3N 28W</t>
  </si>
  <si>
    <t>30° 43' 24.02061" N</t>
  </si>
  <si>
    <t>87° 3' 49.06661" W</t>
  </si>
  <si>
    <t>1472'FSL&amp;948'FEL</t>
  </si>
  <si>
    <t>1615FSL&amp;897FEL</t>
  </si>
  <si>
    <t>16"@ 93'</t>
  </si>
  <si>
    <t>9-5/8"@ 3895'</t>
  </si>
  <si>
    <t>16427-16892</t>
  </si>
  <si>
    <t>15894-16894 3750-4000 0-50</t>
  </si>
  <si>
    <t>0911320114</t>
  </si>
  <si>
    <t>OG_662</t>
  </si>
  <si>
    <t>SEMINOLE</t>
  </si>
  <si>
    <t>TED WEINER OIL PROPERTIES</t>
  </si>
  <si>
    <t>OLEUM CORP #1</t>
  </si>
  <si>
    <t>4S12 48S 32E</t>
  </si>
  <si>
    <t>26° 19' 1.3021" N</t>
  </si>
  <si>
    <t>81° 4' 42.24014" W</t>
  </si>
  <si>
    <t>920'FSL&amp;920'FEL</t>
  </si>
  <si>
    <t>20"@ 194</t>
  </si>
  <si>
    <t>13-3/8"@ 1330'</t>
  </si>
  <si>
    <t>9-5/8"@ 3630'</t>
  </si>
  <si>
    <t>5-1/2"@ 11650'</t>
  </si>
  <si>
    <t>11408-11432</t>
  </si>
  <si>
    <t>25.70 BOPD</t>
  </si>
  <si>
    <t>11415-11420</t>
  </si>
  <si>
    <t>11415-11420 8900-9100 3433-3633 1162-1362 0-150</t>
  </si>
  <si>
    <t>0905120050</t>
  </si>
  <si>
    <t>Seminole Field discovery well</t>
  </si>
  <si>
    <t>OG_663</t>
  </si>
  <si>
    <t>COLLIER-READ CO #1</t>
  </si>
  <si>
    <t>1S24 51S 26E</t>
  </si>
  <si>
    <t>26° 1' 1.4244" N</t>
  </si>
  <si>
    <t>81° 39' 28.32299" W</t>
  </si>
  <si>
    <t>1320'FNL&amp;1093'FEL</t>
  </si>
  <si>
    <t>20"@ 197</t>
  </si>
  <si>
    <t>13-3/8"@ 1405'</t>
  </si>
  <si>
    <t>9-5/8"@ 3661'</t>
  </si>
  <si>
    <t>3536-3761 1305-1505 4-42</t>
  </si>
  <si>
    <t>0902120028</t>
  </si>
  <si>
    <t>OG_664</t>
  </si>
  <si>
    <t>GERRY BROTHERS ETAL #33-2</t>
  </si>
  <si>
    <t>2S33 49S 31E</t>
  </si>
  <si>
    <t>26° 10' 36.66151" N</t>
  </si>
  <si>
    <t>81° 13' 58.89288" W</t>
  </si>
  <si>
    <t xml:space="preserve">1297'FNL&amp;1043'FWL </t>
  </si>
  <si>
    <t>13-3/8"@ 1437'</t>
  </si>
  <si>
    <t>11552-11830</t>
  </si>
  <si>
    <t>SEE FILE</t>
  </si>
  <si>
    <t>11430-11830 3500-3700 0-50</t>
  </si>
  <si>
    <t>0902120029</t>
  </si>
  <si>
    <t>OG_665</t>
  </si>
  <si>
    <t>ROBERT E HOLMES ETAL #11-1</t>
  </si>
  <si>
    <t>1S0 54S 34E</t>
  </si>
  <si>
    <t>25° 47' 26.45884" N</t>
  </si>
  <si>
    <t>80° 53' 20.88672" W</t>
  </si>
  <si>
    <t>993'FNL&amp;966'FEL</t>
  </si>
  <si>
    <t>0908720003</t>
  </si>
  <si>
    <t>OG_666</t>
  </si>
  <si>
    <t>J C MARSH &amp; SONS INC ETAL #1</t>
  </si>
  <si>
    <t>IEL CDN CB</t>
  </si>
  <si>
    <t>4S33 2S 17E</t>
  </si>
  <si>
    <t>30° 16' 4.09814" N</t>
  </si>
  <si>
    <t>82° 36' 41.84698" W</t>
  </si>
  <si>
    <t>654'FSL&amp;665'FEL</t>
  </si>
  <si>
    <t>9-5/8"@ 1521'</t>
  </si>
  <si>
    <t>1557-1357,53-13</t>
  </si>
  <si>
    <t>0902320008</t>
  </si>
  <si>
    <t>OG_667</t>
  </si>
  <si>
    <t>HOLMES-MORRISON-MELTON #4-1</t>
  </si>
  <si>
    <t>1S4 3S 17E</t>
  </si>
  <si>
    <t>30° 15' 50.20784" N</t>
  </si>
  <si>
    <t>82° 36' 41.92492" W</t>
  </si>
  <si>
    <t>663'FNL&amp;665'FEL</t>
  </si>
  <si>
    <t>0902320009</t>
  </si>
  <si>
    <t>OG_668</t>
  </si>
  <si>
    <t>HOLMES-MORRISON-MELTON #16-4</t>
  </si>
  <si>
    <t>2S16 3S 17E</t>
  </si>
  <si>
    <t>30° 14' 5.30606" N</t>
  </si>
  <si>
    <t>82° 37' 25.55717" W</t>
  </si>
  <si>
    <t>660'FNL&amp;668'FWL</t>
  </si>
  <si>
    <t>0902320010</t>
  </si>
  <si>
    <t>OG_669</t>
  </si>
  <si>
    <t>GWENDOLYN HORTON #28-4</t>
  </si>
  <si>
    <t>2S28 2S 17E</t>
  </si>
  <si>
    <t>30° 17' 57.46682" N</t>
  </si>
  <si>
    <t>82° 37' 27.54224" W</t>
  </si>
  <si>
    <t>663'FNL&amp;658'FWL</t>
  </si>
  <si>
    <t>0902320011</t>
  </si>
  <si>
    <t>OG_670</t>
  </si>
  <si>
    <t>CE&amp;PC</t>
  </si>
  <si>
    <t>4S26 8S 10W</t>
  </si>
  <si>
    <t>29° 45' 6.22778" N</t>
  </si>
  <si>
    <t>85° 12' 32.89607" W</t>
  </si>
  <si>
    <t>1336'FSL&amp;1329'FEL</t>
  </si>
  <si>
    <t>10-3/4"@ 3598'</t>
  </si>
  <si>
    <t>13700-14297 3500-3750 3525-3529 5-15</t>
  </si>
  <si>
    <t>0904520001</t>
  </si>
  <si>
    <t>OG_671</t>
  </si>
  <si>
    <t>SAMEDAN OIL CORP</t>
  </si>
  <si>
    <t>MILLER #10-1</t>
  </si>
  <si>
    <t>1S10 5N 28W</t>
  </si>
  <si>
    <t>30° 57' 48.46673" N</t>
  </si>
  <si>
    <t>87° 1' 18.47064" W</t>
  </si>
  <si>
    <t>400'FNL&amp;400'FEL</t>
  </si>
  <si>
    <t>14941-14966 CHIPS</t>
  </si>
  <si>
    <t>14400-15369 2401-3751 0-30</t>
  </si>
  <si>
    <t>0911320115</t>
  </si>
  <si>
    <t>OG_672</t>
  </si>
  <si>
    <t>PRUET &amp; HUGHES CO</t>
  </si>
  <si>
    <t>ROSASCO UNIT #7-4</t>
  </si>
  <si>
    <t>4S7 4N 28W</t>
  </si>
  <si>
    <t>30° 51' 58.91881" N</t>
  </si>
  <si>
    <t>87° 4' 40.06176" W</t>
  </si>
  <si>
    <t>943'FSL&amp;1287'FEL</t>
  </si>
  <si>
    <t>16"@ 84</t>
  </si>
  <si>
    <t>9-5/8"@ 3747'</t>
  </si>
  <si>
    <t>14600-15600 11900-12300</t>
  </si>
  <si>
    <t>0911320116</t>
  </si>
  <si>
    <t>672A</t>
  </si>
  <si>
    <t>ROSASCO UNIT #7-4A</t>
  </si>
  <si>
    <t>1328FSL&amp;2054FEL</t>
  </si>
  <si>
    <t>14714-15714 3590-3840 0-25</t>
  </si>
  <si>
    <t>0911320116-01</t>
  </si>
  <si>
    <t>OG_673</t>
  </si>
  <si>
    <t>TEXAS CITY REFINING CO</t>
  </si>
  <si>
    <t>R D GOODWIN UNIT #19-16</t>
  </si>
  <si>
    <t>4S19 4N 29W</t>
  </si>
  <si>
    <t>30° 50' 26.45166" N</t>
  </si>
  <si>
    <t>87° 10' 45.28282" W</t>
  </si>
  <si>
    <t>1152'FSL&amp;1234'FEL</t>
  </si>
  <si>
    <t>16"@ 60.6</t>
  </si>
  <si>
    <t>10-3/4"@ 3974'</t>
  </si>
  <si>
    <t>16357-16415 CHIPS</t>
  </si>
  <si>
    <t>15825-16725 3825-4125 5-50</t>
  </si>
  <si>
    <t>0911320117</t>
  </si>
  <si>
    <t>OG_674</t>
  </si>
  <si>
    <t>EDWIN L COX</t>
  </si>
  <si>
    <t>BEDSOLE ETAL UNIT #24-1</t>
  </si>
  <si>
    <t>DIL CNLDN CNL CC DL DIP DIR</t>
  </si>
  <si>
    <t>1S24 5N 29W</t>
  </si>
  <si>
    <t>30° 55' 57.72504" N</t>
  </si>
  <si>
    <t>87° 7' 42.99359" W</t>
  </si>
  <si>
    <t>1977'FNL&amp;1980'FEL</t>
  </si>
  <si>
    <t>9-5/8" @ 4001'</t>
  </si>
  <si>
    <t>15690-15763</t>
  </si>
  <si>
    <t>14038-15688</t>
  </si>
  <si>
    <t>0911320118</t>
  </si>
  <si>
    <t>674A</t>
  </si>
  <si>
    <t>BEDSOLE ETAL #24-1</t>
  </si>
  <si>
    <t>DIL PD CC DL</t>
  </si>
  <si>
    <t>1953'FNL&amp;2050'FEL</t>
  </si>
  <si>
    <t>7"@15905</t>
  </si>
  <si>
    <t>15658-15688</t>
  </si>
  <si>
    <t>484 BOPD</t>
  </si>
  <si>
    <t>15670-15710</t>
  </si>
  <si>
    <t>14500-15688 5060-5375 3875-4001 6-38</t>
  </si>
  <si>
    <t>0911320118-01</t>
  </si>
  <si>
    <t>OG_675</t>
  </si>
  <si>
    <t>L N FINDLEY ETUX #4-4</t>
  </si>
  <si>
    <t>4S4 5N 29W</t>
  </si>
  <si>
    <t>30° 58' 20.48439" N</t>
  </si>
  <si>
    <t>87° 7' 33.36598" W</t>
  </si>
  <si>
    <t>2009'FSL&amp;1313'FEL</t>
  </si>
  <si>
    <t>2178FSL&amp;1085FEL</t>
  </si>
  <si>
    <t>10-3/4"@ 3820'</t>
  </si>
  <si>
    <t>15635-15656</t>
  </si>
  <si>
    <t>15000-15759 3600-3900 10-70</t>
  </si>
  <si>
    <t>0911320119</t>
  </si>
  <si>
    <t>OG_676</t>
  </si>
  <si>
    <t>MCDAVID LANDS #2-3</t>
  </si>
  <si>
    <t>3S2 5N 30W</t>
  </si>
  <si>
    <t>30° 58' 26.68551" N</t>
  </si>
  <si>
    <t>87° 12' 29.90859" W</t>
  </si>
  <si>
    <t>1840'FSL&amp;2506'FWL</t>
  </si>
  <si>
    <t>20"@ 110</t>
  </si>
  <si>
    <t>10-3/4"@ 3553</t>
  </si>
  <si>
    <t>7"@ 16046</t>
  </si>
  <si>
    <t>3 1/2-4 1/2"@ 15240</t>
  </si>
  <si>
    <t>15385-15750</t>
  </si>
  <si>
    <t>1860 BOPD</t>
  </si>
  <si>
    <t>2096 MCFPD</t>
  </si>
  <si>
    <t>7.5 BSWPD</t>
  </si>
  <si>
    <t>15376-483</t>
  </si>
  <si>
    <t>0-100, 1101-1550, 2220-3407, 3407-3803, 5845-6203, 9387-9850</t>
  </si>
  <si>
    <t>0903320023</t>
  </si>
  <si>
    <t>OG_677</t>
  </si>
  <si>
    <t>SRPC #30-4</t>
  </si>
  <si>
    <t>DIL BHCS CNLDN EPL DIR</t>
  </si>
  <si>
    <t>4S30 5N 29W</t>
  </si>
  <si>
    <t>30° 54' 55.00644" N</t>
  </si>
  <si>
    <t>87° 8' 45.42998" W</t>
  </si>
  <si>
    <t>1928'FSL&amp;1981'FEL</t>
  </si>
  <si>
    <t>9-5/8"@ 3787'</t>
  </si>
  <si>
    <t>5-1/2"@ 15945'</t>
  </si>
  <si>
    <t>2-7/8"@ 15524</t>
  </si>
  <si>
    <t>15670-15845</t>
  </si>
  <si>
    <t>15690-708</t>
  </si>
  <si>
    <t>14678-15748 3619-4290 1245-1719 0-342</t>
  </si>
  <si>
    <t>0911320120</t>
  </si>
  <si>
    <t>EPA ID # FLS1130030</t>
  </si>
  <si>
    <t>OG_678</t>
  </si>
  <si>
    <t>R.L. MOORE #23-E</t>
  </si>
  <si>
    <t>30° 50' 27.79686" N</t>
  </si>
  <si>
    <t>87° 6' 43.09583" W</t>
  </si>
  <si>
    <t>1890'FSL&amp;1326'FEL</t>
  </si>
  <si>
    <t>1979'FSL&amp;1207'FWL</t>
  </si>
  <si>
    <t>7"@16070</t>
  </si>
  <si>
    <t>3-1/2"@15774'</t>
  </si>
  <si>
    <t>1542 BOPD</t>
  </si>
  <si>
    <t>1138 MCFPD</t>
  </si>
  <si>
    <t>15928-15940</t>
  </si>
  <si>
    <t>0-100, 1271-1903, 3783-3836, 6084-6124, 15103-15402, 15422-15432</t>
  </si>
  <si>
    <t>0911320121</t>
  </si>
  <si>
    <t>OG_679</t>
  </si>
  <si>
    <t>OPAL KNIGHT UNIT #19-2</t>
  </si>
  <si>
    <t>2S19 36S 27E</t>
  </si>
  <si>
    <t>27° 20' 12.53237" N</t>
  </si>
  <si>
    <t>81° 39' 29.42337" W</t>
  </si>
  <si>
    <t xml:space="preserve">1324'FNL&amp;1181'FWL </t>
  </si>
  <si>
    <t>0902720002</t>
  </si>
  <si>
    <t>679A</t>
  </si>
  <si>
    <t>20"@ 244'</t>
  </si>
  <si>
    <t>13-3/8"@ 1600'</t>
  </si>
  <si>
    <t>9-5/8"@ 3588'</t>
  </si>
  <si>
    <t>8397-8457</t>
  </si>
  <si>
    <t>3788-3438,200-O</t>
  </si>
  <si>
    <t>OG_680</t>
  </si>
  <si>
    <t>WILFORD CROFT ETUX #31-7</t>
  </si>
  <si>
    <t>1S31 4S 19E</t>
  </si>
  <si>
    <t>30° 6' 9.71075" N</t>
  </si>
  <si>
    <t>82° 26' 56.97064" W</t>
  </si>
  <si>
    <t>1964'FNL&amp;1980'FEL</t>
  </si>
  <si>
    <t>16"@ 85</t>
  </si>
  <si>
    <t>9-5/8"@ 1550</t>
  </si>
  <si>
    <t>1385-1585,13-63</t>
  </si>
  <si>
    <t>0912520003</t>
  </si>
  <si>
    <t>OG_681</t>
  </si>
  <si>
    <t>MITCHELL ENERGY &amp; DEV CORP</t>
  </si>
  <si>
    <t>FIRST AMERICAN FARMS INC #1</t>
  </si>
  <si>
    <t>2S3 1N 27W</t>
  </si>
  <si>
    <t>30° 37' 38.97961" N</t>
  </si>
  <si>
    <t>86° 56' 23.9828" W</t>
  </si>
  <si>
    <t>470'FNL&amp;1980'FWL</t>
  </si>
  <si>
    <t>16030-17050 3800-4080 0-25</t>
  </si>
  <si>
    <t>0911320122</t>
  </si>
  <si>
    <t>OG_682</t>
  </si>
  <si>
    <t>GRIFFIS ETAL #28-1</t>
  </si>
  <si>
    <t>DIL CNLDN CDN</t>
  </si>
  <si>
    <t>4S28 6N 29W</t>
  </si>
  <si>
    <t>30° 59' 44.01852" N</t>
  </si>
  <si>
    <t>87° 7' 47.53304" W</t>
  </si>
  <si>
    <t>23'FSL&amp;2472'FWL</t>
  </si>
  <si>
    <t>395'FNL&amp;1767'FWL</t>
  </si>
  <si>
    <t>9-5/8"@3692'</t>
  </si>
  <si>
    <t>14251-15251 3342-3842 0-100</t>
  </si>
  <si>
    <t>0911320123</t>
  </si>
  <si>
    <t>OG_683</t>
  </si>
  <si>
    <t>KIRBY PETROLEUM CO</t>
  </si>
  <si>
    <t>STATE LEASE 1307 #1</t>
  </si>
  <si>
    <t>3S20 41S 24E</t>
  </si>
  <si>
    <t>26° 53' 27.87169" N</t>
  </si>
  <si>
    <t>81° 56' 11.09209" W</t>
  </si>
  <si>
    <t>13-3/8"@ 1368'</t>
  </si>
  <si>
    <t>9-5/8"@ 3655'</t>
  </si>
  <si>
    <t>11242-11377</t>
  </si>
  <si>
    <t>11500-11200,3606-3506,1300-1200,25-0</t>
  </si>
  <si>
    <t>0901520004</t>
  </si>
  <si>
    <t>OG_684</t>
  </si>
  <si>
    <t>1S14 45S 26E</t>
  </si>
  <si>
    <t>26° 33' 58.16137" N</t>
  </si>
  <si>
    <t>81° 40' 53.75447" W</t>
  </si>
  <si>
    <t>1332'FNL&amp;1334'FEL</t>
  </si>
  <si>
    <t>20"@ 214</t>
  </si>
  <si>
    <t>13-3/8"@ 1324'</t>
  </si>
  <si>
    <t>9-5/8"@ 2998</t>
  </si>
  <si>
    <t>11240-11740 2800-3000 950-1200 3-53</t>
  </si>
  <si>
    <t>0907120030</t>
  </si>
  <si>
    <t>OG_685</t>
  </si>
  <si>
    <t>V H OSBORNE #29-1</t>
  </si>
  <si>
    <t>1S29 45S 25E</t>
  </si>
  <si>
    <t>26° 32' 9.5542" N</t>
  </si>
  <si>
    <t>81° 49' 35.76739" W</t>
  </si>
  <si>
    <t>1332'FNL&amp;1320'FEL</t>
  </si>
  <si>
    <t>20"@ 217</t>
  </si>
  <si>
    <t>13-3/8"@ 1288'</t>
  </si>
  <si>
    <t>9-5/8"@ 3600</t>
  </si>
  <si>
    <t>11397-11810 3478-3678 1112-1472 3-50</t>
  </si>
  <si>
    <t>0907120031</t>
  </si>
  <si>
    <t>OG_686</t>
  </si>
  <si>
    <t>CURTIS B LOWERY #10-E</t>
  </si>
  <si>
    <t>4S10 4N 29W</t>
  </si>
  <si>
    <t>30° 52' 12.44895" N</t>
  </si>
  <si>
    <t>87° 7' 41.84436" W</t>
  </si>
  <si>
    <t>1773'FSL&amp;1325'FEL</t>
  </si>
  <si>
    <t>1983'FSL&amp;1343'FEL</t>
  </si>
  <si>
    <t>9-5/8"@3924'</t>
  </si>
  <si>
    <t>7"@16025</t>
  </si>
  <si>
    <t>3-1/2"@15688'</t>
  </si>
  <si>
    <t>15870-15906</t>
  </si>
  <si>
    <t>15755-15905</t>
  </si>
  <si>
    <t>0911320125</t>
  </si>
  <si>
    <t>EPA ID# FLS 1130006</t>
  </si>
  <si>
    <t>OG_687</t>
  </si>
  <si>
    <t>CLIFTON C LASSITER #11-E</t>
  </si>
  <si>
    <t>DIL BHCS CDN GR</t>
  </si>
  <si>
    <t>30° 52' 8.97945" N</t>
  </si>
  <si>
    <t>87° 6' 48.98258" W</t>
  </si>
  <si>
    <t xml:space="preserve">1522'FSL&amp;1991'FEL </t>
  </si>
  <si>
    <t>16"@ 122'</t>
  </si>
  <si>
    <t>9-5/8"@3820'</t>
  </si>
  <si>
    <t>7"@15948</t>
  </si>
  <si>
    <t>3-1/2"@15649'</t>
  </si>
  <si>
    <t>2536 BOPD</t>
  </si>
  <si>
    <t>2219 MCFPD</t>
  </si>
  <si>
    <t>35 BWPD</t>
  </si>
  <si>
    <t>15787'-15815'</t>
  </si>
  <si>
    <t>0-100, 1196-1649, 3677-4127, 5624-6120, 14087-15525</t>
  </si>
  <si>
    <t>0911320126</t>
  </si>
  <si>
    <t>OG_688</t>
  </si>
  <si>
    <t>FRANK NOWLING #24-4</t>
  </si>
  <si>
    <t>30° 55' 44.62314" N</t>
  </si>
  <si>
    <t>87° 7' 43.41071" W</t>
  </si>
  <si>
    <t xml:space="preserve">1966'FSL&amp;1979'FEL </t>
  </si>
  <si>
    <t>9-5/8"@3861'</t>
  </si>
  <si>
    <t>7"@15940</t>
  </si>
  <si>
    <t>3-1/2"@15519'</t>
  </si>
  <si>
    <t>15670-15888</t>
  </si>
  <si>
    <t>1674 BOPD</t>
  </si>
  <si>
    <t>1907 MCFPD</t>
  </si>
  <si>
    <t>15674-15839</t>
  </si>
  <si>
    <t>0911320127</t>
  </si>
  <si>
    <t>EPA ID# FLS 1130028</t>
  </si>
  <si>
    <t>OG_689</t>
  </si>
  <si>
    <t>JOHN L BURKHEAD ETAL #36-3</t>
  </si>
  <si>
    <t>3S36 6N 29W</t>
  </si>
  <si>
    <t>30° 59' 0.46183" N</t>
  </si>
  <si>
    <t>87° 7' 54.48083" W</t>
  </si>
  <si>
    <t>660'FSL&amp;1950'FWL</t>
  </si>
  <si>
    <t>0911320128</t>
  </si>
  <si>
    <t>OG_690</t>
  </si>
  <si>
    <t>CHARTER EXPL &amp; PRODUCTION CO</t>
  </si>
  <si>
    <t>DIL BHCS TL DIP</t>
  </si>
  <si>
    <t>3S27 1S 17W</t>
  </si>
  <si>
    <t>30° 22' 17.28466" N</t>
  </si>
  <si>
    <t>85° 56' 17.94464" W</t>
  </si>
  <si>
    <t xml:space="preserve">975'FSL&amp;1225'FWL </t>
  </si>
  <si>
    <t>3440-3040, 5-35</t>
  </si>
  <si>
    <t>0900520001</t>
  </si>
  <si>
    <t>OG_691</t>
  </si>
  <si>
    <t>1S6 2S 16W</t>
  </si>
  <si>
    <t>30° 20' 54.4789" N</t>
  </si>
  <si>
    <t>85° 52' 49.82045" W</t>
  </si>
  <si>
    <t>1605'FNL&amp;1590'FEL</t>
  </si>
  <si>
    <t>0900520002</t>
  </si>
  <si>
    <t>OG_692</t>
  </si>
  <si>
    <t>BELCO PETROLEUM CORP</t>
  </si>
  <si>
    <t>W SPENCER MITCHEM #23-4</t>
  </si>
  <si>
    <t>DIL BHCS CNLDN CDN DIP</t>
  </si>
  <si>
    <t>4S23 2N 28W</t>
  </si>
  <si>
    <t>30° 39' 42.29172" N</t>
  </si>
  <si>
    <t>87° 0' 52.7801" W</t>
  </si>
  <si>
    <t xml:space="preserve">734'FSL&amp;959'FEL </t>
  </si>
  <si>
    <t>15922-16750 3665-4065 0-50</t>
  </si>
  <si>
    <t>0911320129</t>
  </si>
  <si>
    <t>OG_693</t>
  </si>
  <si>
    <t>J.H. WELLS ETAL #23-W</t>
  </si>
  <si>
    <t>30° 50' 55.4424" N</t>
  </si>
  <si>
    <t>87° 7' 13.3536" W</t>
  </si>
  <si>
    <t xml:space="preserve">660'FNL&amp;1344'FWL </t>
  </si>
  <si>
    <t>16"@90'</t>
  </si>
  <si>
    <t>9-5/8"@3967'</t>
  </si>
  <si>
    <t>7"@16060</t>
  </si>
  <si>
    <t>3-1/2"@15740'</t>
  </si>
  <si>
    <t>1616 BOPD</t>
  </si>
  <si>
    <t>1514 MCF</t>
  </si>
  <si>
    <t>25 BBLS</t>
  </si>
  <si>
    <t>15912-15941</t>
  </si>
  <si>
    <t>0-100, 1363-1852, 3719-4263, 5865-6134, 5525-5830, 15040-15941</t>
  </si>
  <si>
    <t>0911320130</t>
  </si>
  <si>
    <t>EPA ID # FLS1130067/EPA permit # FLI0034</t>
  </si>
  <si>
    <t>OG_694</t>
  </si>
  <si>
    <t>THE PETROL CO ETAL</t>
  </si>
  <si>
    <t>STACEY UNIT #14-3</t>
  </si>
  <si>
    <t>3S14 5N 31W</t>
  </si>
  <si>
    <t>30° 56' 41.67463" N</t>
  </si>
  <si>
    <t>87° 18' 53.47681" W</t>
  </si>
  <si>
    <t xml:space="preserve">1130'FSL&amp;1210'FWL </t>
  </si>
  <si>
    <t>0903320024</t>
  </si>
  <si>
    <t>OG_695</t>
  </si>
  <si>
    <t>SECAN OIL CO INC</t>
  </si>
  <si>
    <t>LEAMON HAWTHORNE #5-1</t>
  </si>
  <si>
    <t>1S5 5N 29W</t>
  </si>
  <si>
    <t>30° 58' 35.38279" N</t>
  </si>
  <si>
    <t>87° 8' 40.1235" W</t>
  </si>
  <si>
    <t>9-5/8"@3810'</t>
  </si>
  <si>
    <t>15714-16289 3660-3910 5-30</t>
  </si>
  <si>
    <t>0911320131</t>
  </si>
  <si>
    <t>OG_696</t>
  </si>
  <si>
    <t>WAKULLA</t>
  </si>
  <si>
    <t>PLACID OIL CO</t>
  </si>
  <si>
    <t>USA #27-2</t>
  </si>
  <si>
    <t>DIL BHCS BHGL DIP</t>
  </si>
  <si>
    <t>2S27 2S 3W</t>
  </si>
  <si>
    <t>30° 17' 2.30816" N</t>
  </si>
  <si>
    <t>84° 31' 34.02156" W</t>
  </si>
  <si>
    <t>1070'FNL&amp;1213'FWL</t>
  </si>
  <si>
    <t>26"@ 80</t>
  </si>
  <si>
    <t>13-3/8"@ 1056'</t>
  </si>
  <si>
    <t>9-5/8"@ 3454'</t>
  </si>
  <si>
    <t>10600-10900,10922-10450,3650-3145,25-5</t>
  </si>
  <si>
    <t>0912920004</t>
  </si>
  <si>
    <t>OG_697</t>
  </si>
  <si>
    <t>2S23 46S 30E</t>
  </si>
  <si>
    <t>26° 28' 3.96265" N</t>
  </si>
  <si>
    <t>81° 17' 56.64861" W</t>
  </si>
  <si>
    <t>1040'FNL&amp;1603'FWL</t>
  </si>
  <si>
    <t>13-3/8"@ 1506'</t>
  </si>
  <si>
    <t>9-5/8" @ 4209'</t>
  </si>
  <si>
    <t>11400-11770 9670-9900 4115-4268 1100-1250 4-282</t>
  </si>
  <si>
    <t>0902120032</t>
  </si>
  <si>
    <t>OG_698</t>
  </si>
  <si>
    <t>OLEUM CORP #34-1</t>
  </si>
  <si>
    <t>1S34 47S 33E</t>
  </si>
  <si>
    <t>26° 21' 19.65931" N</t>
  </si>
  <si>
    <t>81° 0' 54.17802" W</t>
  </si>
  <si>
    <t>3960'FSL&amp;1336'FEL</t>
  </si>
  <si>
    <t>20"@ 180</t>
  </si>
  <si>
    <t>9-5/8"@ 3579</t>
  </si>
  <si>
    <t>11240-11640 3484-3599 1094-1236 0-150</t>
  </si>
  <si>
    <t>0905120052</t>
  </si>
  <si>
    <t>OG_699</t>
  </si>
  <si>
    <t>COLLIER CO #18-4</t>
  </si>
  <si>
    <t>4S18 47S 30E</t>
  </si>
  <si>
    <t>26° 23' 11.56564" N</t>
  </si>
  <si>
    <t>81° 21' 22.99144" W</t>
  </si>
  <si>
    <t>13-3/8"@ 1328'</t>
  </si>
  <si>
    <t>9-5/8"@ 3642</t>
  </si>
  <si>
    <t>11480-11980 3454-3712 1098-1358 3-50</t>
  </si>
  <si>
    <t>0902120033</t>
  </si>
  <si>
    <t>OG_700</t>
  </si>
  <si>
    <t>BARRON COLLIER III TRUST #7-2</t>
  </si>
  <si>
    <t>2S7 48S 31E</t>
  </si>
  <si>
    <t>26° 19' 21.21873" N</t>
  </si>
  <si>
    <t>81° 15' 58.71521" W</t>
  </si>
  <si>
    <t>20"@ 200</t>
  </si>
  <si>
    <t>13-3/8"@ 1351'</t>
  </si>
  <si>
    <t>9-5/8"@ 3623</t>
  </si>
  <si>
    <t>11512-11912 3415-3673 1094-1354 3-50</t>
  </si>
  <si>
    <t>0905120053</t>
  </si>
  <si>
    <t>OG_701</t>
  </si>
  <si>
    <t>ALDC #9-1</t>
  </si>
  <si>
    <t>1S9 46S 28E</t>
  </si>
  <si>
    <t>26° 29' 43.32484" N</t>
  </si>
  <si>
    <t>81° 31' 7.41551" W</t>
  </si>
  <si>
    <t>1320'FNL&amp;1317'FEL</t>
  </si>
  <si>
    <t>13-3/8"@ 1305'</t>
  </si>
  <si>
    <t>9-5/8"@ 3580</t>
  </si>
  <si>
    <t>11380-11680 3180-3580 1163-1378 0-210</t>
  </si>
  <si>
    <t>0902120034</t>
  </si>
  <si>
    <t>OG_702</t>
  </si>
  <si>
    <t>SEMINOLE TRIBAL #7-3</t>
  </si>
  <si>
    <t>3S7 48S 33E</t>
  </si>
  <si>
    <t>26° 19' 9.7651" N</t>
  </si>
  <si>
    <t>81° 4' 14.61536" W</t>
  </si>
  <si>
    <t xml:space="preserve">1603' FSL&amp;1603'FWL </t>
  </si>
  <si>
    <t>20"@ 171</t>
  </si>
  <si>
    <t>13-3/8"@ 1307</t>
  </si>
  <si>
    <t>9-5/8"@ 3500</t>
  </si>
  <si>
    <t>11406-11512</t>
  </si>
  <si>
    <t>11404-11437</t>
  </si>
  <si>
    <t>11226-11526 3600-3300 1258 0-150</t>
  </si>
  <si>
    <t>0905120054</t>
  </si>
  <si>
    <t>OG_703</t>
  </si>
  <si>
    <t>OLEUM CORP #12-1</t>
  </si>
  <si>
    <t>1S12 48S 32E</t>
  </si>
  <si>
    <t>26° 19' 31.43323" N</t>
  </si>
  <si>
    <t>81° 4' 52.07948" W</t>
  </si>
  <si>
    <t>1320'FNL&amp;1720'FEL</t>
  </si>
  <si>
    <t>0905120055</t>
  </si>
  <si>
    <t>OG_704</t>
  </si>
  <si>
    <t>SEMINOLE TRIBAL #18-2</t>
  </si>
  <si>
    <t>2S18 48S 33E</t>
  </si>
  <si>
    <t>26° 18' 39.13916" N</t>
  </si>
  <si>
    <t>81° 4' 16.25163" W</t>
  </si>
  <si>
    <t>0905120056</t>
  </si>
  <si>
    <t>OG_705</t>
  </si>
  <si>
    <t>A T &amp; W S ROSASCO #18-W</t>
  </si>
  <si>
    <t>3S18 4N 28W</t>
  </si>
  <si>
    <t>30° 51' 9.03064" N</t>
  </si>
  <si>
    <t>87° 5' 19.05724" W</t>
  </si>
  <si>
    <t>960'FSL&amp;660'FWL</t>
  </si>
  <si>
    <t>9-5/8"@3862'</t>
  </si>
  <si>
    <t>15519-16019 2603-3963 30-170</t>
  </si>
  <si>
    <t>0911320132</t>
  </si>
  <si>
    <t>OG_706</t>
  </si>
  <si>
    <t>J.E.JACKSON #40-2</t>
  </si>
  <si>
    <t>2S40 5N 30W</t>
  </si>
  <si>
    <t>30° 58' 1.74659" N</t>
  </si>
  <si>
    <t>87° 12' 30.58835" W</t>
  </si>
  <si>
    <t>9-5/8"@3596'</t>
  </si>
  <si>
    <t>7"@15682</t>
  </si>
  <si>
    <t>3-1/2"@13990'</t>
  </si>
  <si>
    <t>15477-15684</t>
  </si>
  <si>
    <t>1581 BOPD</t>
  </si>
  <si>
    <t>1360 MCFPD</t>
  </si>
  <si>
    <t>15468-15550</t>
  </si>
  <si>
    <t>0911320133</t>
  </si>
  <si>
    <t>EPA ID # FLS1130037</t>
  </si>
  <si>
    <t>OG_707</t>
  </si>
  <si>
    <t>MCDAVID LANDS #3-2</t>
  </si>
  <si>
    <t>4S3 5N 30W</t>
  </si>
  <si>
    <t>30° 58' 26.71485" N</t>
  </si>
  <si>
    <t>87° 13' 4.57943" W</t>
  </si>
  <si>
    <t>1724'FSL&amp;447'FEL</t>
  </si>
  <si>
    <t>10-3/4"@ 3550'</t>
  </si>
  <si>
    <t>7"@15695</t>
  </si>
  <si>
    <t>3-1/2"@15423'</t>
  </si>
  <si>
    <t>15433-15681</t>
  </si>
  <si>
    <t>1657 BOPD</t>
  </si>
  <si>
    <t>2226 MCFPD</t>
  </si>
  <si>
    <t>67.6 BWPD</t>
  </si>
  <si>
    <t>15444-15482</t>
  </si>
  <si>
    <t>14362-15482 13710-14125 3475-3729 3190-3520 1118-1765 5-60</t>
  </si>
  <si>
    <t>0903320025</t>
  </si>
  <si>
    <t>EPA ID # FLS1130048</t>
  </si>
  <si>
    <t>OG_708</t>
  </si>
  <si>
    <t>JAMES NICHOLSON ETAL #10-1</t>
  </si>
  <si>
    <t>1S10 5N 30W</t>
  </si>
  <si>
    <t>30° 58' 3.01721" N</t>
  </si>
  <si>
    <t>87° 13' 2.30027" W</t>
  </si>
  <si>
    <t>661'FNL&amp;184'FEL</t>
  </si>
  <si>
    <t>10-3/4"@ 3666'</t>
  </si>
  <si>
    <t>7"@15681</t>
  </si>
  <si>
    <t>3-1/2"@15413'</t>
  </si>
  <si>
    <t>15500-15622</t>
  </si>
  <si>
    <t>194 BOPD</t>
  </si>
  <si>
    <t>2325 BWPD</t>
  </si>
  <si>
    <t>15522-15536</t>
  </si>
  <si>
    <t>15318-15598 6352-5825 2951-3159 2834-2936 1137-1517 5-60</t>
  </si>
  <si>
    <t>0903320026</t>
  </si>
  <si>
    <t>EPA ID# FLS0330002</t>
  </si>
  <si>
    <t>OG_709</t>
  </si>
  <si>
    <t>FRED S DONALDSON ETAL #1</t>
  </si>
  <si>
    <t>3S34 8S 21E</t>
  </si>
  <si>
    <t>29° 44' 51.87754" N</t>
  </si>
  <si>
    <t>82° 11' 25.22048" W</t>
  </si>
  <si>
    <t>687'FSL&amp;61984'FWL</t>
  </si>
  <si>
    <t>13-3/8"@ 185</t>
  </si>
  <si>
    <t>7-5/8"@ 2392</t>
  </si>
  <si>
    <t>2730-3068</t>
  </si>
  <si>
    <t>2545-2197,60-20</t>
  </si>
  <si>
    <t>0900120002</t>
  </si>
  <si>
    <t>OG_710</t>
  </si>
  <si>
    <t>SLOAN #35-1</t>
  </si>
  <si>
    <t>DIL BHCS CNLDN ML FDN</t>
  </si>
  <si>
    <t>1S35 35S 36E</t>
  </si>
  <si>
    <t>27° 23' 17.7972" N</t>
  </si>
  <si>
    <t>80° 42' 0.70654" W</t>
  </si>
  <si>
    <t>1308'FNL&amp;1496'FEL</t>
  </si>
  <si>
    <t>20"@ 206'</t>
  </si>
  <si>
    <t>16"@ 949'</t>
  </si>
  <si>
    <t>13-3/8"@ 1546'</t>
  </si>
  <si>
    <t>9-5/8"@2933'</t>
  </si>
  <si>
    <t>10953-11015</t>
  </si>
  <si>
    <t>3038-2838,1597-1397 4-54</t>
  </si>
  <si>
    <t>0909320001</t>
  </si>
  <si>
    <t>OG_711</t>
  </si>
  <si>
    <t>WILLIAM J O'CONNOR</t>
  </si>
  <si>
    <t>2S30 5S 6E</t>
  </si>
  <si>
    <t>30° 1' 14.41925" N</t>
  </si>
  <si>
    <t>83° 46' 4.68576" W</t>
  </si>
  <si>
    <t>1324'FNL&amp;1320'FWL</t>
  </si>
  <si>
    <t>0912320002</t>
  </si>
  <si>
    <t>OG_712</t>
  </si>
  <si>
    <t>LEHIGH PARK</t>
  </si>
  <si>
    <t>CTLC #22-4</t>
  </si>
  <si>
    <t>IEL BHCS CNL IE DIP</t>
  </si>
  <si>
    <t>4S22 44S 26E</t>
  </si>
  <si>
    <t>26° 37' 52.09396" N</t>
  </si>
  <si>
    <t>81° 41' 58.19809" W</t>
  </si>
  <si>
    <t>1045'FSL&amp;1550'FEL</t>
  </si>
  <si>
    <t>9-5/8"@3593'</t>
  </si>
  <si>
    <t>7"@11630</t>
  </si>
  <si>
    <t>3-1/2"@5000'</t>
  </si>
  <si>
    <t>11358-11453</t>
  </si>
  <si>
    <t>490 BOPD</t>
  </si>
  <si>
    <t>1 MCF</t>
  </si>
  <si>
    <t>48 BWPD</t>
  </si>
  <si>
    <t>11389-11394</t>
  </si>
  <si>
    <t>11199-11630</t>
  </si>
  <si>
    <t>0907120032</t>
  </si>
  <si>
    <t>Lehigh Park Field discovery well</t>
  </si>
  <si>
    <t>712A</t>
  </si>
  <si>
    <t>CTLC 22-4A</t>
  </si>
  <si>
    <t>306FSL&amp;405FEL</t>
  </si>
  <si>
    <t>7"@11585.52'</t>
  </si>
  <si>
    <t>129 BOPD</t>
  </si>
  <si>
    <t>1824 BWPD</t>
  </si>
  <si>
    <t>11562-11591</t>
  </si>
  <si>
    <t>4-1540 1530-1778??</t>
  </si>
  <si>
    <t>0907120032-01</t>
  </si>
  <si>
    <t>OG_713</t>
  </si>
  <si>
    <t>GERRY BROTHERS ETAL #29-3</t>
  </si>
  <si>
    <t>3S29 49S 31E</t>
  </si>
  <si>
    <t>26° 10' 58.06369" N</t>
  </si>
  <si>
    <t>81° 14' 50.97476" W</t>
  </si>
  <si>
    <t>920'FNL&amp;1520'FWL</t>
  </si>
  <si>
    <t>9-5/8" @ 4380'</t>
  </si>
  <si>
    <t>5-1/2" @ 11907'</t>
  </si>
  <si>
    <t>11598.5-11608.44</t>
  </si>
  <si>
    <t>2.13 BOPD</t>
  </si>
  <si>
    <t>423.87 BWPD</t>
  </si>
  <si>
    <t>11591-11597</t>
  </si>
  <si>
    <t>11500 9500-9714 8900-9100</t>
  </si>
  <si>
    <t>0902120035</t>
  </si>
  <si>
    <t>713A</t>
  </si>
  <si>
    <t>DIAMOND SHAMROCK</t>
  </si>
  <si>
    <t>GERRY BROTHERS ETAL #29-3A</t>
  </si>
  <si>
    <t>BHCS</t>
  </si>
  <si>
    <t>465'FSL&amp;1325'FWL</t>
  </si>
  <si>
    <t>9-5/8" @ 4000'</t>
  </si>
  <si>
    <t>5-1/2" @ 11635'</t>
  </si>
  <si>
    <t>2-7/8"@ 5071'</t>
  </si>
  <si>
    <t>253 BWPD</t>
  </si>
  <si>
    <t>OH 11643-11645</t>
  </si>
  <si>
    <t>11200-11550 8900-9200 3650-3850 1250-1450 0-150</t>
  </si>
  <si>
    <t>0902120035-02</t>
  </si>
  <si>
    <t>OG_714</t>
  </si>
  <si>
    <t>CTLC #13-3</t>
  </si>
  <si>
    <t>DIL CNLDN CNL</t>
  </si>
  <si>
    <t>3S13 45S 27E</t>
  </si>
  <si>
    <t>26° 33' 20.84105" N</t>
  </si>
  <si>
    <t>81° 34' 53.74049" W</t>
  </si>
  <si>
    <t>340'FNL&amp;290'FELSec 23</t>
  </si>
  <si>
    <t>1403FSL&amp;1269FWL Sec 13</t>
  </si>
  <si>
    <t>20"@ 248'</t>
  </si>
  <si>
    <t>13-3/8"@ 1340'</t>
  </si>
  <si>
    <t>7"@ 12128'</t>
  </si>
  <si>
    <t>3-1/2"@5800'</t>
  </si>
  <si>
    <t>249 BOPD</t>
  </si>
  <si>
    <t>12120-12130</t>
  </si>
  <si>
    <t>11411-11791 6900-7749 3189-3476 1280-1803 465-950 0-200</t>
  </si>
  <si>
    <t>0907120045</t>
  </si>
  <si>
    <t>OG_715</t>
  </si>
  <si>
    <t>LADI #24-2</t>
  </si>
  <si>
    <t>2S24 45S 27E</t>
  </si>
  <si>
    <t>26° 33' 19.79809" N</t>
  </si>
  <si>
    <t>81° 34' 53.71633" W</t>
  </si>
  <si>
    <t>440'FNL&amp;290'FEL Sec 23</t>
  </si>
  <si>
    <t>1330.2FNL&amp;1273.5FWLSec 24</t>
  </si>
  <si>
    <t>20"@ 225'</t>
  </si>
  <si>
    <t>13-3/8"@ 1350'</t>
  </si>
  <si>
    <t>7"@11927'</t>
  </si>
  <si>
    <t>3-1/2"@5100'</t>
  </si>
  <si>
    <t>11760-11813.5</t>
  </si>
  <si>
    <t>804 BOPD</t>
  </si>
  <si>
    <t>101 BWPD</t>
  </si>
  <si>
    <t>11781-11793 11820-11828</t>
  </si>
  <si>
    <t>11254-11791 3359-3545 1168-1927 476-954 0-200</t>
  </si>
  <si>
    <t>0907120034</t>
  </si>
  <si>
    <t>OG_716</t>
  </si>
  <si>
    <t>RANDALL HUGHES #1</t>
  </si>
  <si>
    <t>4S32 4N 17W</t>
  </si>
  <si>
    <t>30° 42' 26.49803" N</t>
  </si>
  <si>
    <t>85° 57' 26.75605" W</t>
  </si>
  <si>
    <t>1335'FSL&amp;1325'FEL</t>
  </si>
  <si>
    <t>20"@ 115'</t>
  </si>
  <si>
    <t>10-3/4"@ 3416'</t>
  </si>
  <si>
    <t>3235-3535 5-150</t>
  </si>
  <si>
    <t>0905920001</t>
  </si>
  <si>
    <t>OG_717</t>
  </si>
  <si>
    <t>LEON</t>
  </si>
  <si>
    <t>ST JOE A #1</t>
  </si>
  <si>
    <t>DIL BHCS CDN TL</t>
  </si>
  <si>
    <t>1S14 2S 1E</t>
  </si>
  <si>
    <t>30° 18' 48.5537" N</t>
  </si>
  <si>
    <t>84° 11' 48.56953" W</t>
  </si>
  <si>
    <t>1578'FNL &amp; 1036'FEL</t>
  </si>
  <si>
    <t>16"@ 55'</t>
  </si>
  <si>
    <t>9-5/8"@ 2334'</t>
  </si>
  <si>
    <t>2234-? 700-? 25-60</t>
  </si>
  <si>
    <t>0907320001</t>
  </si>
  <si>
    <t>OG_718</t>
  </si>
  <si>
    <t>JOHN S PITTMAN #26-2</t>
  </si>
  <si>
    <t>2S26 5N 29W</t>
  </si>
  <si>
    <t>30° 56' 3.84" N</t>
  </si>
  <si>
    <t>87° 6' 7.56" W</t>
  </si>
  <si>
    <t>1037'FNL&amp;1037'FWL</t>
  </si>
  <si>
    <t>9-5/8"@ 3770</t>
  </si>
  <si>
    <t>15161-15418 CHIPS</t>
  </si>
  <si>
    <t>14575-15470 2520-3870 0-150</t>
  </si>
  <si>
    <t>0911320134</t>
  </si>
  <si>
    <t>This well was reentered and given P# 1251</t>
  </si>
  <si>
    <t>OG_719</t>
  </si>
  <si>
    <t>CHARLES R SCOGGINS</t>
  </si>
  <si>
    <t>0908720004</t>
  </si>
  <si>
    <t>OG_720</t>
  </si>
  <si>
    <t>WATSON OIL CORP</t>
  </si>
  <si>
    <t>LEE INVESTMENT CO INC #6-2</t>
  </si>
  <si>
    <t>2S6 46S 27E</t>
  </si>
  <si>
    <t>26° 30' 28.6884" N</t>
  </si>
  <si>
    <t>81° 39' 26.95003" W</t>
  </si>
  <si>
    <t>1400'FNL&amp;1060'FWL</t>
  </si>
  <si>
    <t>20"@ 104'</t>
  </si>
  <si>
    <t>13-3/8"@ 1315</t>
  </si>
  <si>
    <t>9-5/8"@3558'</t>
  </si>
  <si>
    <t>11753-11816</t>
  </si>
  <si>
    <t>11400-11816 3384-3584 1131-1331 0-45</t>
  </si>
  <si>
    <t>0907120035</t>
  </si>
  <si>
    <t>OG_721</t>
  </si>
  <si>
    <t>ST JOE PAPER CO #4</t>
  </si>
  <si>
    <t>DIL BHCS TL</t>
  </si>
  <si>
    <t>2S31 2S 20W</t>
  </si>
  <si>
    <t>30° 22' 22.98292" N</t>
  </si>
  <si>
    <t>86° 17' 32.87378" W</t>
  </si>
  <si>
    <t>924'FNL&amp;1331'FWL</t>
  </si>
  <si>
    <t>10-3/4"@ 3627'</t>
  </si>
  <si>
    <t>3400-3800 5-15</t>
  </si>
  <si>
    <t>0913120005</t>
  </si>
  <si>
    <t>OG_722</t>
  </si>
  <si>
    <t>ST JOE PAPER CO #5</t>
  </si>
  <si>
    <t>4S20 8S 8W</t>
  </si>
  <si>
    <t>29° 45' 57.7683" N</t>
  </si>
  <si>
    <t>85° 3' 29.85908" W</t>
  </si>
  <si>
    <t>0903720001</t>
  </si>
  <si>
    <t>OG_723</t>
  </si>
  <si>
    <t>HUNT PETROLEUM CORP</t>
  </si>
  <si>
    <t>HURST #1</t>
  </si>
  <si>
    <t>4S5 3S 13E</t>
  </si>
  <si>
    <t>30° 14' 54.26142" N</t>
  </si>
  <si>
    <t>83° 1' 55.97458" W</t>
  </si>
  <si>
    <t>9-5/8"@ 1808'</t>
  </si>
  <si>
    <t>1925-1665,20-0</t>
  </si>
  <si>
    <t>0912120002</t>
  </si>
  <si>
    <t>OG_724</t>
  </si>
  <si>
    <t>HOWES #1</t>
  </si>
  <si>
    <t>4S16 2S 12E</t>
  </si>
  <si>
    <t>30° 18' 36.30006" N</t>
  </si>
  <si>
    <t>83° 6' 59.70928" W</t>
  </si>
  <si>
    <t>9-5/8"@ 1525'</t>
  </si>
  <si>
    <t>1675-1412, 20-0</t>
  </si>
  <si>
    <t>0912120001</t>
  </si>
  <si>
    <t>OG_725</t>
  </si>
  <si>
    <t>CRAPPS #1</t>
  </si>
  <si>
    <t>2S21 6S 13E</t>
  </si>
  <si>
    <t>29° 56' 58.44869" N</t>
  </si>
  <si>
    <t>83° 1' 49.9796" W</t>
  </si>
  <si>
    <t>1980'FNL&amp;3300'FEL</t>
  </si>
  <si>
    <t>16"@ 67'</t>
  </si>
  <si>
    <t>1088-818,316-168,70-4</t>
  </si>
  <si>
    <t>0906720001</t>
  </si>
  <si>
    <t>Hole started caving in and hole junked rig skidded NW 250'</t>
  </si>
  <si>
    <t>725A</t>
  </si>
  <si>
    <t>CRAPPS #1A</t>
  </si>
  <si>
    <t>IEL TL MUD</t>
  </si>
  <si>
    <t>29° 57' 0.39164" N</t>
  </si>
  <si>
    <t>83° 1' 52.20138" W</t>
  </si>
  <si>
    <t>1786'FNL&amp;3494'FEL</t>
  </si>
  <si>
    <t>20"@ 169'</t>
  </si>
  <si>
    <t>13-3/8"@ 201'</t>
  </si>
  <si>
    <t>9-5/8"@ 1510'</t>
  </si>
  <si>
    <t>1370-1630 0-25</t>
  </si>
  <si>
    <t>0906720003</t>
  </si>
  <si>
    <t>OG_726</t>
  </si>
  <si>
    <t>CHIPOLA OIL &amp; EXPL CO</t>
  </si>
  <si>
    <t>CHIPOLA LAND CO #33-1</t>
  </si>
  <si>
    <t>1S33 1N 11W</t>
  </si>
  <si>
    <t>30° 26' 32.25192" N</t>
  </si>
  <si>
    <t>85° 20' 41.32604" W</t>
  </si>
  <si>
    <t>2665'FSL&amp;2656'FEL</t>
  </si>
  <si>
    <t>0901320001</t>
  </si>
  <si>
    <t>OG_727</t>
  </si>
  <si>
    <t>26° 13' 29.50865" N</t>
  </si>
  <si>
    <t>81° 16' 44.57342" W</t>
  </si>
  <si>
    <t>1320'FNL&amp;1500'FWL</t>
  </si>
  <si>
    <t>24"@ 193'</t>
  </si>
  <si>
    <t>16"@ 1387'</t>
  </si>
  <si>
    <t>10-3/4"@ 3658'</t>
  </si>
  <si>
    <t>7-5/8"@ 12928'</t>
  </si>
  <si>
    <t>11456-12872 CHIPS</t>
  </si>
  <si>
    <t>14,360-371</t>
  </si>
  <si>
    <t>67 BWPD</t>
  </si>
  <si>
    <t>11597-11607</t>
  </si>
  <si>
    <t>11497-11197,3600-3361,2000-1673,1180-1497 0-150</t>
  </si>
  <si>
    <t>0902120036</t>
  </si>
  <si>
    <t>OG_728</t>
  </si>
  <si>
    <t>W.W. FOSKETT ETAL #25-N</t>
  </si>
  <si>
    <t>1S25 4N 29W</t>
  </si>
  <si>
    <t>30° 50' 1.37837" N</t>
  </si>
  <si>
    <t>87° 5' 43.07982" W</t>
  </si>
  <si>
    <t>9-5/8"@ 3925'</t>
  </si>
  <si>
    <t>7"@16120"</t>
  </si>
  <si>
    <t>3-1/2"@15739'</t>
  </si>
  <si>
    <t>15964-16049</t>
  </si>
  <si>
    <t>15958-15992</t>
  </si>
  <si>
    <t>14998-15644, 15858-15639</t>
  </si>
  <si>
    <t>0911320136</t>
  </si>
  <si>
    <t>EPA ID # FLS1130010</t>
  </si>
  <si>
    <t>OG_729</t>
  </si>
  <si>
    <t>D.M. KIRKLAND ETAL #11-W</t>
  </si>
  <si>
    <t>DIL BHCS CNLDN CDN CNL</t>
  </si>
  <si>
    <t>3S11 4N 29W</t>
  </si>
  <si>
    <t>30° 52' 18.3648" N</t>
  </si>
  <si>
    <t>87° 7' 11.2296" W</t>
  </si>
  <si>
    <t>2827'FNL&amp;1336'FWL</t>
  </si>
  <si>
    <t>9-5/8"@ 3926'</t>
  </si>
  <si>
    <t>7"@16010"</t>
  </si>
  <si>
    <t>3-1/2"@15717'</t>
  </si>
  <si>
    <t>1060 BOPD</t>
  </si>
  <si>
    <t>1011 MCFPD</t>
  </si>
  <si>
    <t>15847-15873</t>
  </si>
  <si>
    <t>15766-15900</t>
  </si>
  <si>
    <t>0911320135</t>
  </si>
  <si>
    <t>OG_730</t>
  </si>
  <si>
    <t>USA #26-4</t>
  </si>
  <si>
    <t>DIL BHCS CD</t>
  </si>
  <si>
    <t>4S26 3S 5W</t>
  </si>
  <si>
    <t>30° 11' 10.98126" N</t>
  </si>
  <si>
    <t>84° 42' 1.22985" W</t>
  </si>
  <si>
    <t xml:space="preserve">2084'FSL&amp;730'FEL </t>
  </si>
  <si>
    <t>26"@ 63'</t>
  </si>
  <si>
    <t>13-3/8"@ 1040'</t>
  </si>
  <si>
    <t>9-5/8"@ 4040'</t>
  </si>
  <si>
    <t>3880-4300 30-0</t>
  </si>
  <si>
    <t>0907720001</t>
  </si>
  <si>
    <t>OG_731</t>
  </si>
  <si>
    <t>CABOT CORP</t>
  </si>
  <si>
    <t>USA-STATE FOREST #1-9</t>
  </si>
  <si>
    <t>2S9 3N 25W</t>
  </si>
  <si>
    <t>30° 46' 53.9423" N</t>
  </si>
  <si>
    <t>86° 45' 9.5166" W</t>
  </si>
  <si>
    <t>1270'FNL&amp;1320'FWL</t>
  </si>
  <si>
    <t>10-3/4"@ 3670'</t>
  </si>
  <si>
    <t>5-1/2" @ 5999'</t>
  </si>
  <si>
    <t>5903-5934</t>
  </si>
  <si>
    <t>5903-5911 5929-5934</t>
  </si>
  <si>
    <t>14375-15250 11900-12000 7500-7600 5800-5934 3389-3779 0-25</t>
  </si>
  <si>
    <t>0909120003</t>
  </si>
  <si>
    <t>OG_732</t>
  </si>
  <si>
    <t>JEAN MCARTHUR DAVIS #9-3</t>
  </si>
  <si>
    <t>DIL BHCS CNLDN PL</t>
  </si>
  <si>
    <t>3S9 35S 35E</t>
  </si>
  <si>
    <t>27° 26' 18.11714" N</t>
  </si>
  <si>
    <t>80° 50' 16.34408" W</t>
  </si>
  <si>
    <t xml:space="preserve">1320'FSL&amp;1326'FWL </t>
  </si>
  <si>
    <t>20"@ 300'</t>
  </si>
  <si>
    <t>13-3/8"@ 1335</t>
  </si>
  <si>
    <t>9-5/8"@ 2750</t>
  </si>
  <si>
    <t>7-5/8"@ 4500'</t>
  </si>
  <si>
    <t>7840-10773</t>
  </si>
  <si>
    <t>4402-4602,1180-1430,50-0</t>
  </si>
  <si>
    <t>0909320002</t>
  </si>
  <si>
    <t>OG_733</t>
  </si>
  <si>
    <t>GCRC #2-1</t>
  </si>
  <si>
    <t>1S2 49S 30E</t>
  </si>
  <si>
    <t>26° 13' 54.60874" N</t>
  </si>
  <si>
    <t>81° 17' 15.27871" W</t>
  </si>
  <si>
    <t>1254'FSL&amp;1252'FEL</t>
  </si>
  <si>
    <t>4113'FSL &amp; 1307'FEL</t>
  </si>
  <si>
    <t>13-3/8"@ 1335'</t>
  </si>
  <si>
    <t>9-5/8"@ 3622'</t>
  </si>
  <si>
    <t>7"@ 12480'</t>
  </si>
  <si>
    <t>12223-12502</t>
  </si>
  <si>
    <t>94 BOPD</t>
  </si>
  <si>
    <t>73 BWPD</t>
  </si>
  <si>
    <t>12381-394</t>
  </si>
  <si>
    <t>11398-12452 3338-3558 1295-2215 1121-1292 755-872 173-432 0-110</t>
  </si>
  <si>
    <t>0902120037</t>
  </si>
  <si>
    <t>OG_734</t>
  </si>
  <si>
    <t>LADI-CTLC #10-2</t>
  </si>
  <si>
    <t>2S10 45S 27E</t>
  </si>
  <si>
    <t>26° 34' 51.44416" N</t>
  </si>
  <si>
    <t>81° 36' 50.25686" W</t>
  </si>
  <si>
    <t>1600'FNL&amp;155'FEL Sec 9</t>
  </si>
  <si>
    <t>1339'FNL&amp;1410'FWL Sec 10</t>
  </si>
  <si>
    <t>0907120049</t>
  </si>
  <si>
    <t>OG_735</t>
  </si>
  <si>
    <t>CTLC #13-4</t>
  </si>
  <si>
    <t>IEL BHCS CNL</t>
  </si>
  <si>
    <t>4S13 45S 27E</t>
  </si>
  <si>
    <t>26° 33' 49.73256" N</t>
  </si>
  <si>
    <t>81° 34' 1.05002" W</t>
  </si>
  <si>
    <t>2478'FSL&amp;845'FEL</t>
  </si>
  <si>
    <t>1325'FSL&amp;1270'FEL</t>
  </si>
  <si>
    <t>20"@233'</t>
  </si>
  <si>
    <t>13-3/8"@1325'</t>
  </si>
  <si>
    <t>9-5/8"@3590'</t>
  </si>
  <si>
    <t>7"@11994"</t>
  </si>
  <si>
    <t>11704'-11781'</t>
  </si>
  <si>
    <t>157 BBLS</t>
  </si>
  <si>
    <t>225 BBLS</t>
  </si>
  <si>
    <t>11726-11738</t>
  </si>
  <si>
    <t>11162-11746 3273-3715 1099-2162 674-874 201-401 0-110</t>
  </si>
  <si>
    <t>0907120039</t>
  </si>
  <si>
    <t>OG_736</t>
  </si>
  <si>
    <t>COLLIER DEVELOPMENT #17-1</t>
  </si>
  <si>
    <t>1S17 49S 30E</t>
  </si>
  <si>
    <t>26° 12' 33.9512" N</t>
  </si>
  <si>
    <t>81° 20' 3.35645" W</t>
  </si>
  <si>
    <t>1421'FNL&amp;1322'FEL</t>
  </si>
  <si>
    <t>20"@230'</t>
  </si>
  <si>
    <t>13-3/8"@1307'</t>
  </si>
  <si>
    <t>9-5/8"@ 3616'</t>
  </si>
  <si>
    <t>11525-11850 3445-3645 1204-1404 0-50</t>
  </si>
  <si>
    <t>0902120038</t>
  </si>
  <si>
    <t>OG_737</t>
  </si>
  <si>
    <t>SID LARKIN &amp; SON #8-3</t>
  </si>
  <si>
    <t>3S8 25S 22E</t>
  </si>
  <si>
    <t>28° 19' 13.81544" N</t>
  </si>
  <si>
    <t>82° 8' 0.03397" W</t>
  </si>
  <si>
    <t xml:space="preserve">1050'FSL&amp;1600'FWL </t>
  </si>
  <si>
    <t>0910120003</t>
  </si>
  <si>
    <t>OG_738</t>
  </si>
  <si>
    <t>3S11 4N 14W</t>
  </si>
  <si>
    <t>30° 45' 45.97387" N</t>
  </si>
  <si>
    <t>85° 36' 50.05249" W</t>
  </si>
  <si>
    <t xml:space="preserve">1600'FSL&amp;1100'FWL </t>
  </si>
  <si>
    <t>10-3/4"@ 3517'</t>
  </si>
  <si>
    <t>3213-3473 4-29</t>
  </si>
  <si>
    <t>0913320003</t>
  </si>
  <si>
    <t>OG_739</t>
  </si>
  <si>
    <t>J E GOLDEN #4-1</t>
  </si>
  <si>
    <t>1S4 5N 29W</t>
  </si>
  <si>
    <t>30° 58' 41.7869" N</t>
  </si>
  <si>
    <t>87° 7' 28.26067" W</t>
  </si>
  <si>
    <t>913'FNL&amp;1009'FEL</t>
  </si>
  <si>
    <t>16"@ 114'</t>
  </si>
  <si>
    <t>10-3/4"@ 3803'</t>
  </si>
  <si>
    <t>15096-15303</t>
  </si>
  <si>
    <t>15300-14280,3900-3700,25-3</t>
  </si>
  <si>
    <t>0911320137</t>
  </si>
  <si>
    <t>OG_740</t>
  </si>
  <si>
    <t>GULF &amp; WESTERN #7-4</t>
  </si>
  <si>
    <t>DIL BHCS CNLDN ML</t>
  </si>
  <si>
    <t>4S7 46S 35E</t>
  </si>
  <si>
    <t>26° 29' 49.0457" N</t>
  </si>
  <si>
    <t>80° 52' 16.11959" W</t>
  </si>
  <si>
    <t>1471'FSL&amp;1321'FEL</t>
  </si>
  <si>
    <t>26" @ 302'</t>
  </si>
  <si>
    <t>20" @ 1669'</t>
  </si>
  <si>
    <t>9-5/8" @ 4200'</t>
  </si>
  <si>
    <t>9627-11939</t>
  </si>
  <si>
    <t>9980-9720,4600-4000,1751-1550,50-4</t>
  </si>
  <si>
    <t>0909920005</t>
  </si>
  <si>
    <t>drill pipe stuck @ 9900' hole junked/central and south florida flood control district took over well for sampling and water level monitoring</t>
  </si>
  <si>
    <t>OG_741</t>
  </si>
  <si>
    <t>SFU #28-3A</t>
  </si>
  <si>
    <t>DIL BHCS CNLDN ML CALIPER</t>
  </si>
  <si>
    <t>26° 31' 49.10369" N</t>
  </si>
  <si>
    <t>81° 26' 1.04996" W</t>
  </si>
  <si>
    <t>350'FSL&amp;398'FWL</t>
  </si>
  <si>
    <t>20" @ 203'</t>
  </si>
  <si>
    <t>13-3/8" @ 1316'</t>
  </si>
  <si>
    <t>9-5/8"@ 3486'</t>
  </si>
  <si>
    <t>5-1/2" @ 11463'</t>
  </si>
  <si>
    <t>2-3/8"@ 6094'</t>
  </si>
  <si>
    <t>11466-565</t>
  </si>
  <si>
    <t>362 BOPD</t>
  </si>
  <si>
    <t>27 MCF</t>
  </si>
  <si>
    <t>28 Bbls</t>
  </si>
  <si>
    <t>11463-11472</t>
  </si>
  <si>
    <t>11469-11040,3436-3215,2130-1148,830-4</t>
  </si>
  <si>
    <t>0905120057</t>
  </si>
  <si>
    <t>OG_742</t>
  </si>
  <si>
    <t>THE CUMMER CO #35-3</t>
  </si>
  <si>
    <t>3S35 23S 22E</t>
  </si>
  <si>
    <t>28° 26' 16.33009" N</t>
  </si>
  <si>
    <t>82° 5' 7.27184" W</t>
  </si>
  <si>
    <t xml:space="preserve">1219'FSL&amp;992'FWL </t>
  </si>
  <si>
    <t>20"@ 395'</t>
  </si>
  <si>
    <t>13-3/8"@ 1220'</t>
  </si>
  <si>
    <t>9-5/8"@ 2825'</t>
  </si>
  <si>
    <t>3070-2670,1280-720,70-0</t>
  </si>
  <si>
    <t>0910120004</t>
  </si>
  <si>
    <t>OG_743</t>
  </si>
  <si>
    <t>THE LARKIN CO #8-4</t>
  </si>
  <si>
    <t>4S8 25S 22E</t>
  </si>
  <si>
    <t>28° 19' 14.22606" N</t>
  </si>
  <si>
    <t>82° 7' 36.39558" W</t>
  </si>
  <si>
    <t xml:space="preserve">1045'FSL&amp;1608'FEL </t>
  </si>
  <si>
    <t>20"@ 285'</t>
  </si>
  <si>
    <t>13-3/8"@ 1218'</t>
  </si>
  <si>
    <t>3700-3360,1285-971,70-0</t>
  </si>
  <si>
    <t>0910120005</t>
  </si>
  <si>
    <t>OG_744</t>
  </si>
  <si>
    <t>LEHIGH ACRES DEVELOPMENT 24-3</t>
  </si>
  <si>
    <t>3S24 45S 27E</t>
  </si>
  <si>
    <t>26° 32' 23.63906" N</t>
  </si>
  <si>
    <t>81° 34' 53.69239" W</t>
  </si>
  <si>
    <t>583'FNL&amp;300' FEL OF Sec 26</t>
  </si>
  <si>
    <t>1330'FSL &amp; 1279'FWL SEC 24</t>
  </si>
  <si>
    <t>12210-12288</t>
  </si>
  <si>
    <t>12362-11624,3810-3290,1755-939,150-4</t>
  </si>
  <si>
    <t>0907120040</t>
  </si>
  <si>
    <t>KICKED OFF FROM P# 422 SITE</t>
  </si>
  <si>
    <t>OG_745</t>
  </si>
  <si>
    <t>USA #16-3</t>
  </si>
  <si>
    <t>DIL CNLDN CD TEMP DL CB</t>
  </si>
  <si>
    <t>3S16 4S 6W</t>
  </si>
  <si>
    <t>30° 7' 28.48768" N</t>
  </si>
  <si>
    <t>84° 50' 56.66593" W</t>
  </si>
  <si>
    <t xml:space="preserve">860'FSL&amp;660'FWL </t>
  </si>
  <si>
    <t>13-3/8"@ 788'</t>
  </si>
  <si>
    <t>9-5/8"@ 4015'</t>
  </si>
  <si>
    <t>12154-12162</t>
  </si>
  <si>
    <t>4350-3800,940-620,34-4</t>
  </si>
  <si>
    <t>0907720002</t>
  </si>
  <si>
    <t>OG_746</t>
  </si>
  <si>
    <t>IPC #30-4</t>
  </si>
  <si>
    <t>4S30 3S 11W</t>
  </si>
  <si>
    <t>30° 11' 26.43246" N</t>
  </si>
  <si>
    <t>85° 22' 37.35624" W</t>
  </si>
  <si>
    <t xml:space="preserve">1320'FSL&amp;1354'FEL </t>
  </si>
  <si>
    <t>20"@ 249'</t>
  </si>
  <si>
    <t>10-3/4"@ 3527'</t>
  </si>
  <si>
    <t>12628-12747</t>
  </si>
  <si>
    <t>12250-12765 3367-3600 30-55</t>
  </si>
  <si>
    <t>0904520002</t>
  </si>
  <si>
    <t>OG_747</t>
  </si>
  <si>
    <t>LADI #4-4</t>
  </si>
  <si>
    <t>4S4 45S 27E</t>
  </si>
  <si>
    <t>26° 34' 52.15177" N</t>
  </si>
  <si>
    <t>81° 36' 50.92117" W</t>
  </si>
  <si>
    <t>1529'FNL&amp;215' FEL OF Sec 9</t>
  </si>
  <si>
    <t>1316FSL&amp;1283FEL Sec 4</t>
  </si>
  <si>
    <t>12411-12491</t>
  </si>
  <si>
    <t>11850-12760 3234-3467</t>
  </si>
  <si>
    <t>0907120041</t>
  </si>
  <si>
    <t>P# 1028 KICKED OFF FROM THIS WELLBORE</t>
  </si>
  <si>
    <t>OG_748</t>
  </si>
  <si>
    <t>SWD SYSTEM #2 WELL #1</t>
  </si>
  <si>
    <t>TEMP TRACER</t>
  </si>
  <si>
    <t>26° 33' 18.29585" N</t>
  </si>
  <si>
    <t>81° 34' 52.21229" W</t>
  </si>
  <si>
    <t>593'FNL&amp;150'FEL</t>
  </si>
  <si>
    <t>1350'FSL &amp; 1300'FWL</t>
  </si>
  <si>
    <t>9-5/8"@ 187'</t>
  </si>
  <si>
    <t>7"@ 1898'</t>
  </si>
  <si>
    <t>3-1/2"@ 1673'</t>
  </si>
  <si>
    <t>OH</t>
  </si>
  <si>
    <t>0907120042</t>
  </si>
  <si>
    <t>EPA Permit # FLI 0027</t>
  </si>
  <si>
    <t>OG_749</t>
  </si>
  <si>
    <t>CTLC #23-1</t>
  </si>
  <si>
    <t>1S23 45S 27E</t>
  </si>
  <si>
    <t>26° 33' 18.21603" N</t>
  </si>
  <si>
    <t>81° 34' 53.71026" W</t>
  </si>
  <si>
    <t>540'FNL&amp;290'FEL</t>
  </si>
  <si>
    <t>0907120043</t>
  </si>
  <si>
    <t>PERMIT NEVER ISSUED</t>
  </si>
  <si>
    <t>749A</t>
  </si>
  <si>
    <t>660FNL&amp;660FEL</t>
  </si>
  <si>
    <t>13-3/8"@ 1345'</t>
  </si>
  <si>
    <t>7"@11556'</t>
  </si>
  <si>
    <t>2-7/8"@ 7100'</t>
  </si>
  <si>
    <t>304 BOPD</t>
  </si>
  <si>
    <t>377 BWPD</t>
  </si>
  <si>
    <t>11510-11538</t>
  </si>
  <si>
    <t>11026-11539 3346-3566 3118-3182 1173-1930 496-950 4-210</t>
  </si>
  <si>
    <t>0907120052</t>
  </si>
  <si>
    <t>OG_750</t>
  </si>
  <si>
    <t>CALLON PETROLEUM CO</t>
  </si>
  <si>
    <t>HENDRICKS-HELMS #36-3</t>
  </si>
  <si>
    <t>30° 59' 14.42537" N</t>
  </si>
  <si>
    <t>87° 7' 53.7568" W</t>
  </si>
  <si>
    <t>1988'FSL&amp;1980'FWL</t>
  </si>
  <si>
    <t>1784FSL&amp;1968FWL</t>
  </si>
  <si>
    <t>18" @ 84'</t>
  </si>
  <si>
    <t>9-5/8"@ 3772'</t>
  </si>
  <si>
    <t>15100-15706 3630-3700 3.5-25</t>
  </si>
  <si>
    <t>0911320138</t>
  </si>
  <si>
    <t>OG_751</t>
  </si>
  <si>
    <t>TURNER CORP #18-3</t>
  </si>
  <si>
    <t>DIL BHCS CNL</t>
  </si>
  <si>
    <t>3S18 45S 28E</t>
  </si>
  <si>
    <t>26° 33' 32.15447" N</t>
  </si>
  <si>
    <t>81° 33' 41.53568" W</t>
  </si>
  <si>
    <t>660'FSL&amp;900'FWL</t>
  </si>
  <si>
    <t>685'FSL&amp;685'FWL</t>
  </si>
  <si>
    <t>20"@243'</t>
  </si>
  <si>
    <t>13-3/8"@1344'</t>
  </si>
  <si>
    <t>9-5/8"@3598'</t>
  </si>
  <si>
    <t>7"@11770'</t>
  </si>
  <si>
    <t>3-1/2"@ 11400'</t>
  </si>
  <si>
    <t>11476'-11720' CHIPS</t>
  </si>
  <si>
    <t>156BbLS</t>
  </si>
  <si>
    <t>650BbLS</t>
  </si>
  <si>
    <t>11476'-11498'</t>
  </si>
  <si>
    <t>11390-10878 3548-3310 2054-1112 1050-650 0-200</t>
  </si>
  <si>
    <t>0905120058</t>
  </si>
  <si>
    <t>OG_752</t>
  </si>
  <si>
    <t>LADI #24-4</t>
  </si>
  <si>
    <t>4S24 45S 27E</t>
  </si>
  <si>
    <t>26° 32' 42.42628" N</t>
  </si>
  <si>
    <t>81° 34' 7.11919" W</t>
  </si>
  <si>
    <t xml:space="preserve">996'FSL&amp;1488'FEL </t>
  </si>
  <si>
    <t>0907120044</t>
  </si>
  <si>
    <t>OG_753</t>
  </si>
  <si>
    <t>GEORGE H CULVERHOUSE #12-1</t>
  </si>
  <si>
    <t>1S12 34S 38E</t>
  </si>
  <si>
    <t>27° 32' 25.1264" N</t>
  </si>
  <si>
    <t>80° 29' 0.76463" W</t>
  </si>
  <si>
    <t>1199'FNL&amp;1001'FEL</t>
  </si>
  <si>
    <t>0911120001</t>
  </si>
  <si>
    <t>OG_754</t>
  </si>
  <si>
    <t>CLINTON OIL CO</t>
  </si>
  <si>
    <t>DIL CNLDN DIP</t>
  </si>
  <si>
    <t>993'FNL&amp;965'FEL</t>
  </si>
  <si>
    <t>20"@258'</t>
  </si>
  <si>
    <t>13-3/8"@1420'</t>
  </si>
  <si>
    <t>9-5/8"@ 3604'</t>
  </si>
  <si>
    <t>11367-12865</t>
  </si>
  <si>
    <t>11500-565</t>
  </si>
  <si>
    <t>3655-3605,1585-1285,200-0</t>
  </si>
  <si>
    <t>0908720005</t>
  </si>
  <si>
    <t>OG_755</t>
  </si>
  <si>
    <t>PEACOCK FRUIT &amp; CATTLE CORP #32-2</t>
  </si>
  <si>
    <t>2S32 36S 39E</t>
  </si>
  <si>
    <t>27° 18' 16.66993" N</t>
  </si>
  <si>
    <t>80° 27' 40.54395" W</t>
  </si>
  <si>
    <t>1427'FNL&amp;1075'FWL</t>
  </si>
  <si>
    <t>0911120002</t>
  </si>
  <si>
    <t>OG_756</t>
  </si>
  <si>
    <t>CTLC #22-2</t>
  </si>
  <si>
    <t>2S22 44S 26E</t>
  </si>
  <si>
    <t>26° 38' 30.12968" N</t>
  </si>
  <si>
    <t>81° 42' 42.99779" W</t>
  </si>
  <si>
    <t>347'FNL&amp;214'FEL of Sec 21</t>
  </si>
  <si>
    <t>0907120046</t>
  </si>
  <si>
    <t>OG_757</t>
  </si>
  <si>
    <t>LADI #14-4</t>
  </si>
  <si>
    <t>4S14 45S 27E</t>
  </si>
  <si>
    <t>26° 33' 21.79494" N</t>
  </si>
  <si>
    <t>81° 34' 53.74337" W</t>
  </si>
  <si>
    <t>240'FNL&amp;290'FEL of Sec 23</t>
  </si>
  <si>
    <t>0907120047</t>
  </si>
  <si>
    <t>OG_758</t>
  </si>
  <si>
    <t>LEE CO-CITY OF FT MYERS #16-2</t>
  </si>
  <si>
    <t>2S16 44S 26E</t>
  </si>
  <si>
    <t>26° 39' 7.3116" N</t>
  </si>
  <si>
    <t>81° 43' 31.49238" W</t>
  </si>
  <si>
    <t>1851'FNL&amp;660'FWL</t>
  </si>
  <si>
    <t>20"@ 263'</t>
  </si>
  <si>
    <t>11350-12527 CHIPS</t>
  </si>
  <si>
    <t>10800-12601 3200-3731 4-1679</t>
  </si>
  <si>
    <t>0907120050</t>
  </si>
  <si>
    <t>OG_759</t>
  </si>
  <si>
    <t>ST PTRSBG BANK &amp; TRUST CO TRUSTEE #35-4</t>
  </si>
  <si>
    <t>DIL BHCS CNLDN TL</t>
  </si>
  <si>
    <t>4S35 33S 20E</t>
  </si>
  <si>
    <t>27° 33' 34.82168" N</t>
  </si>
  <si>
    <t>82° 16' 21.41544" W</t>
  </si>
  <si>
    <t>1318'FSL&amp;1118'FEL</t>
  </si>
  <si>
    <t>20"@ 406'</t>
  </si>
  <si>
    <t>13-3/8"@ 2582'</t>
  </si>
  <si>
    <t>2430-2780 6-70</t>
  </si>
  <si>
    <t>0908120001</t>
  </si>
  <si>
    <t>OG_760</t>
  </si>
  <si>
    <t>COLLIER CO A #1</t>
  </si>
  <si>
    <t>1S30 46S 30E</t>
  </si>
  <si>
    <t>26° 27' 8.85203" N</t>
  </si>
  <si>
    <t>81° 21' 25.98387" W</t>
  </si>
  <si>
    <t>1320'FNL&amp;1303'FEL</t>
  </si>
  <si>
    <t>20"@ 114'</t>
  </si>
  <si>
    <t>13-3/8"@ 1223'</t>
  </si>
  <si>
    <t>9-5/8" @ 3612'</t>
  </si>
  <si>
    <t>11400-11750 3460-3720 1110-1260 0-50</t>
  </si>
  <si>
    <t>0902120040</t>
  </si>
  <si>
    <t>OG_761</t>
  </si>
  <si>
    <t>TL CALIPER</t>
  </si>
  <si>
    <t>26° 13' 53.27642" N</t>
  </si>
  <si>
    <t>81° 17' 16.21182" W</t>
  </si>
  <si>
    <t>1184'FSL&amp;1324'FEL</t>
  </si>
  <si>
    <t>9-5/8"@ 238'</t>
  </si>
  <si>
    <t>7"@ 1911"</t>
  </si>
  <si>
    <t>5"@ 2074"</t>
  </si>
  <si>
    <t>4-1/2"2054'</t>
  </si>
  <si>
    <t>0902120039</t>
  </si>
  <si>
    <t>EPA Permit # FLI 0023/FLS0210014</t>
  </si>
  <si>
    <t>OG_762</t>
  </si>
  <si>
    <t>ST JOE PAPER CO #6</t>
  </si>
  <si>
    <t>4S12 8S 10W</t>
  </si>
  <si>
    <t>29° 47' 53.92504" N</t>
  </si>
  <si>
    <t>85° 11' 31.82784" W</t>
  </si>
  <si>
    <t xml:space="preserve">2283'FSL&amp;1064'FEL </t>
  </si>
  <si>
    <t>30"@52'</t>
  </si>
  <si>
    <t>16"@ 87'</t>
  </si>
  <si>
    <t>10-3/4"@ 3533.46'</t>
  </si>
  <si>
    <t>3547-3696 3357-3457 4-29</t>
  </si>
  <si>
    <t>0904520003</t>
  </si>
  <si>
    <t>OG_763</t>
  </si>
  <si>
    <t>OBIE E WILLIS #25-1</t>
  </si>
  <si>
    <t>1S25 2N 28W</t>
  </si>
  <si>
    <t>30° 39' 23.88186" N</t>
  </si>
  <si>
    <t>86° 59' 58.96676" W</t>
  </si>
  <si>
    <t>1037'FNL&amp;1603'FEL</t>
  </si>
  <si>
    <t>15931-16931 3660-3910 4-29</t>
  </si>
  <si>
    <t>0911320139</t>
  </si>
  <si>
    <t>OG_764</t>
  </si>
  <si>
    <t>KANABA OIL &amp; GAS CORP</t>
  </si>
  <si>
    <t>COLLIER CO #10-2</t>
  </si>
  <si>
    <t>2S10 47S 28E</t>
  </si>
  <si>
    <t>26° 24' 19.04504" N</t>
  </si>
  <si>
    <t>81° 30' 38.55636" W</t>
  </si>
  <si>
    <t>1588'FNL&amp;1105'FWL</t>
  </si>
  <si>
    <t>0902120041</t>
  </si>
  <si>
    <t>OG_765</t>
  </si>
  <si>
    <t>COLLIER CO #18-2</t>
  </si>
  <si>
    <t>2S18 50S 33E</t>
  </si>
  <si>
    <t>26° 7' 21.03586" N</t>
  </si>
  <si>
    <t>81° 3' 58.98834" W</t>
  </si>
  <si>
    <t>1317'FNL&amp;1297'FWL</t>
  </si>
  <si>
    <t>0902120042</t>
  </si>
  <si>
    <t>OG_766</t>
  </si>
  <si>
    <t>WAINOCO INC-APCO OIL CORP</t>
  </si>
  <si>
    <t>COLLIER CO #35-2</t>
  </si>
  <si>
    <t>2S35 50S 30E</t>
  </si>
  <si>
    <t>26° 4' 43.14561" N</t>
  </si>
  <si>
    <t>81° 17' 34.4013" W</t>
  </si>
  <si>
    <t>1300'FNL&amp;1500'FWL</t>
  </si>
  <si>
    <t>13-3/8"@ 1357'</t>
  </si>
  <si>
    <t>9-5/8"@ 3605'</t>
  </si>
  <si>
    <t>11861-12011 CHIPS</t>
  </si>
  <si>
    <t>0-50 1245-1457 3515-?</t>
  </si>
  <si>
    <t>0902120043</t>
  </si>
  <si>
    <t>OG_767</t>
  </si>
  <si>
    <t>SOHIO PETROLEUM CO</t>
  </si>
  <si>
    <t>COLLIER CO #11-3</t>
  </si>
  <si>
    <t>3S11 47S 29E</t>
  </si>
  <si>
    <t>26° 23' 59.55904" N</t>
  </si>
  <si>
    <t>81° 23' 53.19139" W</t>
  </si>
  <si>
    <t>1037'FSL&amp;974'FWL</t>
  </si>
  <si>
    <t>20"@ 236.40'</t>
  </si>
  <si>
    <t>9-5/8"@ 3686'</t>
  </si>
  <si>
    <t>11662-11717</t>
  </si>
  <si>
    <t>11590-11604</t>
  </si>
  <si>
    <t>11490-11962 3703-3429 1173-1340 4-154</t>
  </si>
  <si>
    <t>0902120044</t>
  </si>
  <si>
    <t>OG_768</t>
  </si>
  <si>
    <t>ALDC #19-2</t>
  </si>
  <si>
    <t>2S19 45S 32E</t>
  </si>
  <si>
    <t>26° 33' 29.35829" N</t>
  </si>
  <si>
    <t>81° 10' 20.8213" W</t>
  </si>
  <si>
    <t>1377'FNL&amp;1001'FWL</t>
  </si>
  <si>
    <t>13-3/8"@ 1493'</t>
  </si>
  <si>
    <t>9-5/8"@ 4200'</t>
  </si>
  <si>
    <t>4070-4280 1338-1588 0-73</t>
  </si>
  <si>
    <t>0905120059</t>
  </si>
  <si>
    <t>OG_769</t>
  </si>
  <si>
    <t>USA #10-3</t>
  </si>
  <si>
    <t>APALACHICOLA NAT FOREST</t>
  </si>
  <si>
    <t>3S10 4S 7W</t>
  </si>
  <si>
    <t>30° 8' 29.40623" N</t>
  </si>
  <si>
    <t>84° 55' 51.63197" W</t>
  </si>
  <si>
    <t xml:space="preserve">1105'FSL&amp;1040'FWL </t>
  </si>
  <si>
    <t>26"@ 70'</t>
  </si>
  <si>
    <t>13-3/8"@ 805'</t>
  </si>
  <si>
    <t>9-5/8"@ 4052'</t>
  </si>
  <si>
    <t>4360-3840,30-4</t>
  </si>
  <si>
    <t>0907720003</t>
  </si>
  <si>
    <t>OG_770</t>
  </si>
  <si>
    <t>CTLC #22-1</t>
  </si>
  <si>
    <t>1S22 44S 26E</t>
  </si>
  <si>
    <t>26° 38' 30.69366" N</t>
  </si>
  <si>
    <t>81° 41' 39.30641" W</t>
  </si>
  <si>
    <t>317'FNL&amp;250'FWL of Sec 23</t>
  </si>
  <si>
    <t>1334'FNL&amp;1313'FWL Sec 22</t>
  </si>
  <si>
    <t>9-5/8" @ 3593'</t>
  </si>
  <si>
    <t>11722-11886</t>
  </si>
  <si>
    <t>11340-11889 3225-3725 1096-1688 0-150</t>
  </si>
  <si>
    <t>0907120051</t>
  </si>
  <si>
    <t>P# 857 Kicked off from this well</t>
  </si>
  <si>
    <t>OG_771</t>
  </si>
  <si>
    <t>WATSON OIL CO</t>
  </si>
  <si>
    <t>GORDON WELLS ETAL #30-S</t>
  </si>
  <si>
    <t>4S30 4N 28W</t>
  </si>
  <si>
    <t>30° 49' 31.28365" N</t>
  </si>
  <si>
    <t>87° 4' 41.3499" W</t>
  </si>
  <si>
    <t>1649'FSL&amp;1038'FEL</t>
  </si>
  <si>
    <t>10-3/4"@ 3780'</t>
  </si>
  <si>
    <t>15441-16400 3665-3880 5-55</t>
  </si>
  <si>
    <t>0911320140</t>
  </si>
  <si>
    <t>OG_772</t>
  </si>
  <si>
    <t>PCK FRT &amp; CTL CORP #26-1</t>
  </si>
  <si>
    <t>1S26 36S 39E</t>
  </si>
  <si>
    <t>27° 19' 9.81718" N</t>
  </si>
  <si>
    <t>80° 24' 12.39453" W</t>
  </si>
  <si>
    <t>1424'FNL&amp;1362'FEL</t>
  </si>
  <si>
    <t>13-3/8"@ 3625'</t>
  </si>
  <si>
    <t>9-5/8"@ 6811'</t>
  </si>
  <si>
    <t>4200-3900,3790-3550,140-0</t>
  </si>
  <si>
    <t>0911120003</t>
  </si>
  <si>
    <t>OG_773</t>
  </si>
  <si>
    <t>AMAX PETROLEUM CORP</t>
  </si>
  <si>
    <t>E H ESTES #26-1</t>
  </si>
  <si>
    <t>1S26 2N 27W</t>
  </si>
  <si>
    <t>30° 39' 14.39647" N</t>
  </si>
  <si>
    <t>86° 54' 59.87869" W</t>
  </si>
  <si>
    <t>1330'FNL&amp;1313'FEL</t>
  </si>
  <si>
    <t>9-5/8" @ 3856'</t>
  </si>
  <si>
    <t>15750-16750 3740-4010 6-31</t>
  </si>
  <si>
    <t>0911320141</t>
  </si>
  <si>
    <t>OG_774</t>
  </si>
  <si>
    <t>BCC #2</t>
  </si>
  <si>
    <t>IEL DIL BHCS TL ML</t>
  </si>
  <si>
    <t>1S34 4S 5E</t>
  </si>
  <si>
    <t>30° 5' 37.21474" N</t>
  </si>
  <si>
    <t>83° 48' 40.25549" W</t>
  </si>
  <si>
    <t>2082'FNL&amp;1351'FEL</t>
  </si>
  <si>
    <t>20"@ 91'</t>
  </si>
  <si>
    <t>16"@ 244'</t>
  </si>
  <si>
    <t>9-5/8"@ 1750'</t>
  </si>
  <si>
    <t>2100-1650, 50-0</t>
  </si>
  <si>
    <t>0912320003</t>
  </si>
  <si>
    <t>OG_775</t>
  </si>
  <si>
    <t>COLLIER CO #26-4</t>
  </si>
  <si>
    <t>4S26 49S 28E</t>
  </si>
  <si>
    <t>26° 10' 17.48053" N</t>
  </si>
  <si>
    <t>81° 28' 42.78855" W</t>
  </si>
  <si>
    <t>1323'FSL&amp;1323'FEL</t>
  </si>
  <si>
    <t>20" @ 206'</t>
  </si>
  <si>
    <t>9-5/8" @ 3620'</t>
  </si>
  <si>
    <t>3520-3720 1215-1415 0-155</t>
  </si>
  <si>
    <t>0902120045</t>
  </si>
  <si>
    <t>OG_776</t>
  </si>
  <si>
    <t>4S22 5S 5E</t>
  </si>
  <si>
    <t>30° 1' 40.16503" N</t>
  </si>
  <si>
    <t>83° 48' 33.41898" W</t>
  </si>
  <si>
    <t xml:space="preserve">565'FSL&amp;838'FEL </t>
  </si>
  <si>
    <t>13-3/8"@ 315'</t>
  </si>
  <si>
    <t>2549-1549, 40-15</t>
  </si>
  <si>
    <t>0912320004</t>
  </si>
  <si>
    <t>OG_777</t>
  </si>
  <si>
    <t>MALLARD EXPLORATION INC</t>
  </si>
  <si>
    <t>IPC #31-2</t>
  </si>
  <si>
    <t>2S31 1S 10W</t>
  </si>
  <si>
    <t>30° 21' 31.04708" N</t>
  </si>
  <si>
    <t>85° 16' 59.47684" W</t>
  </si>
  <si>
    <t>1041'FNL&amp;1038'FWL</t>
  </si>
  <si>
    <t>20"@ 112'</t>
  </si>
  <si>
    <t>10-3/4"@ 3852'</t>
  </si>
  <si>
    <t>3526-3958 0-30</t>
  </si>
  <si>
    <t>0901320002</t>
  </si>
  <si>
    <t>OG_778</t>
  </si>
  <si>
    <t>BASS ENTERPRISES PRODUCTION CO</t>
  </si>
  <si>
    <t>COLLIER CO #12-2</t>
  </si>
  <si>
    <t>2S12 52S 27E</t>
  </si>
  <si>
    <t>25° 57' 34.77195" N</t>
  </si>
  <si>
    <t>81° 33' 48.66986" W</t>
  </si>
  <si>
    <t>1275'FNL&amp;2345'FWL</t>
  </si>
  <si>
    <t>24"@ 235'</t>
  </si>
  <si>
    <t>16"@ 1412'</t>
  </si>
  <si>
    <t>7-5/8"@12840'</t>
  </si>
  <si>
    <t>13725-16877</t>
  </si>
  <si>
    <t>13770-16682</t>
  </si>
  <si>
    <t>15700-15950 12640-12740 9900-10100 3650-3917 1240-1370 4-154</t>
  </si>
  <si>
    <t>0902120046</t>
  </si>
  <si>
    <t>OG_779</t>
  </si>
  <si>
    <t>GCRC #2-2</t>
  </si>
  <si>
    <t>DIL CNL CALIPER</t>
  </si>
  <si>
    <t>2S2 49S 30E</t>
  </si>
  <si>
    <t>26° 13' 56.46108" N</t>
  </si>
  <si>
    <t>81° 17' 43.52827" W</t>
  </si>
  <si>
    <t>1483'FSL&amp;1240'FWL</t>
  </si>
  <si>
    <t>4099FSL&amp;1302FWL</t>
  </si>
  <si>
    <t>9-5/8" @ 3618'</t>
  </si>
  <si>
    <t>7" @ 12191'</t>
  </si>
  <si>
    <t>3-1/2" @ 6300'</t>
  </si>
  <si>
    <t>20 MIN BHSIP</t>
  </si>
  <si>
    <t>1246 BOPD</t>
  </si>
  <si>
    <t>12181-193</t>
  </si>
  <si>
    <t>12192-11780,3568-3302,2131-1908,1569-1276,840,430</t>
  </si>
  <si>
    <t>0902120047</t>
  </si>
  <si>
    <t>OG_780</t>
  </si>
  <si>
    <t>GCRC #34-3</t>
  </si>
  <si>
    <t>3S34 48S 30E</t>
  </si>
  <si>
    <t>26° 15' 25.25755" N</t>
  </si>
  <si>
    <t>81° 18' 49.00324" W</t>
  </si>
  <si>
    <t xml:space="preserve">1568'FSL&amp;1064'FWL </t>
  </si>
  <si>
    <t>1170FSL&amp;1400FWL</t>
  </si>
  <si>
    <t>13-3/8"@ 1532</t>
  </si>
  <si>
    <t>9-5/8"@ 3975</t>
  </si>
  <si>
    <t>7"@ 11671</t>
  </si>
  <si>
    <t>2-7/8"@ 5989</t>
  </si>
  <si>
    <t>11620-11670 CHIPS</t>
  </si>
  <si>
    <t>NEG MCF</t>
  </si>
  <si>
    <t>306 BWPD</t>
  </si>
  <si>
    <t>11645-11660</t>
  </si>
  <si>
    <t>11213-11749 3762-3921 534-2020 5-217</t>
  </si>
  <si>
    <t>0902120048</t>
  </si>
  <si>
    <t>EPA ID # FLS0210010/FLI0001</t>
  </si>
  <si>
    <t>OG_781</t>
  </si>
  <si>
    <t>KANABA OIL &amp; GAS CORP/ DIAMOND SHAMROCK</t>
  </si>
  <si>
    <t>SEMINOLE TRIBAL #18-3</t>
  </si>
  <si>
    <t>3S18 48S 33E</t>
  </si>
  <si>
    <t>26° 18' 13.03657" N</t>
  </si>
  <si>
    <t>81° 4' 15.63607" W</t>
  </si>
  <si>
    <t>20" @ 205'</t>
  </si>
  <si>
    <t>9-5/8"@ 3656'</t>
  </si>
  <si>
    <t>5-1/2"@11670'</t>
  </si>
  <si>
    <t>11400-11496 CHIPS</t>
  </si>
  <si>
    <t>11400'-11478'</t>
  </si>
  <si>
    <t>222BWPD</t>
  </si>
  <si>
    <t>11482-11486</t>
  </si>
  <si>
    <t>11230-11580 6100-6400 3520-3720 1200-1400 0-55</t>
  </si>
  <si>
    <t>0905120060</t>
  </si>
  <si>
    <t>OG_782</t>
  </si>
  <si>
    <t>GERRY BROTHERS ETAL #32-2</t>
  </si>
  <si>
    <t>2S32 49S 31E</t>
  </si>
  <si>
    <t>920'FSL&amp;1520'FWL Sec 29</t>
  </si>
  <si>
    <t>920'FSL&amp;920'FWL Sec 32</t>
  </si>
  <si>
    <t>0902120035-01</t>
  </si>
  <si>
    <t>P# 713 surface hole and pad to be used for this well</t>
  </si>
  <si>
    <t>OG_783</t>
  </si>
  <si>
    <t>STRATA ENERGY INC</t>
  </si>
  <si>
    <t>COLLIER CO #21-4</t>
  </si>
  <si>
    <t>4S21 47S 32E</t>
  </si>
  <si>
    <t>26° 22' 30.95285" N</t>
  </si>
  <si>
    <t>81° 7' 43.54936" W</t>
  </si>
  <si>
    <t>1384'FSL&amp;1184'FEL</t>
  </si>
  <si>
    <t>11250-11730 3263-3513 1291-??? 0-190</t>
  </si>
  <si>
    <t>0905120061</t>
  </si>
  <si>
    <t>OG_784</t>
  </si>
  <si>
    <t>CTLC #23-2</t>
  </si>
  <si>
    <t>2S23 44S 26E</t>
  </si>
  <si>
    <t>26° 38' 31.7143" N</t>
  </si>
  <si>
    <t>81° 41' 39.31894" W</t>
  </si>
  <si>
    <t>217'FNL&amp;250'FWL</t>
  </si>
  <si>
    <t>1328'FNL&amp;1330'FWL</t>
  </si>
  <si>
    <t>0907120053</t>
  </si>
  <si>
    <t>OG_785</t>
  </si>
  <si>
    <t>OCALA NATIONAL FOREST</t>
  </si>
  <si>
    <t>2S6 15S 26E</t>
  </si>
  <si>
    <t>29° 13' 27.2154" N</t>
  </si>
  <si>
    <t>81° 44' 19.62096" W</t>
  </si>
  <si>
    <t>613'FNL&amp; 707'FWL</t>
  </si>
  <si>
    <t>20" @ 208</t>
  </si>
  <si>
    <t>13-3/8"@ 1450</t>
  </si>
  <si>
    <t>9-5/8"@ 2700</t>
  </si>
  <si>
    <t>4006-2306,1600-1300,1250-1050,104-4</t>
  </si>
  <si>
    <t>0908320001</t>
  </si>
  <si>
    <t>OG_786</t>
  </si>
  <si>
    <t>LEHIGH-CTLC #27-1</t>
  </si>
  <si>
    <t>1S27 45S 27E</t>
  </si>
  <si>
    <t>26° 32' 17.76008" N</t>
  </si>
  <si>
    <t>81° 35' 42.59764" W</t>
  </si>
  <si>
    <t>1040'FNL&amp;1500'FWL</t>
  </si>
  <si>
    <t>13-3/8"@ 1348'</t>
  </si>
  <si>
    <t>11770-11861</t>
  </si>
  <si>
    <t>11250-12100 3483-??? 1110-1386 0-104</t>
  </si>
  <si>
    <t>0907120054</t>
  </si>
  <si>
    <t>OG_787</t>
  </si>
  <si>
    <t>DIL CNLDN GRN</t>
  </si>
  <si>
    <t>26° 32' 52.02971" N</t>
  </si>
  <si>
    <t>81° 33' 49.333" W</t>
  </si>
  <si>
    <t>1988'FSL&amp;150'FWLSec 19</t>
  </si>
  <si>
    <t>1951'FSL&amp;660"FELSec 24</t>
  </si>
  <si>
    <t>7" @ 11860'</t>
  </si>
  <si>
    <t>2-7/8"@ 6100'</t>
  </si>
  <si>
    <t>11591-11672</t>
  </si>
  <si>
    <t>39 BOPD</t>
  </si>
  <si>
    <t>827 BSWPD</t>
  </si>
  <si>
    <t>11593-11605</t>
  </si>
  <si>
    <t>11200-11630 3274-3550 995-1966 450-905 0-207</t>
  </si>
  <si>
    <t>0907120055</t>
  </si>
  <si>
    <t>SHL in HENDRY/ BHL in LEE</t>
  </si>
  <si>
    <t>OG_788</t>
  </si>
  <si>
    <t>26° 38' 31.00707" N</t>
  </si>
  <si>
    <t>81° 41' 39.41703" W</t>
  </si>
  <si>
    <t>0907120056</t>
  </si>
  <si>
    <t>OG_789</t>
  </si>
  <si>
    <t>CTLC #18-4</t>
  </si>
  <si>
    <t>4S18 44S 31E</t>
  </si>
  <si>
    <t>26° 39' 5.01682" N</t>
  </si>
  <si>
    <t>81° 15' 47.96579" W</t>
  </si>
  <si>
    <t>1079'FSL&amp;1506'FEL</t>
  </si>
  <si>
    <t>16"@ 886'</t>
  </si>
  <si>
    <t>13-3/8"@1490'</t>
  </si>
  <si>
    <t>9-5/8"@ 4103'</t>
  </si>
  <si>
    <t>3889-4089 0-50</t>
  </si>
  <si>
    <t>0905120062</t>
  </si>
  <si>
    <t>OG_790</t>
  </si>
  <si>
    <t>VULCAN MATERIALS ETAL #22-2</t>
  </si>
  <si>
    <t>DIL BHCS CNLDN CDN FT DIR</t>
  </si>
  <si>
    <t>2S22 5N 30W</t>
  </si>
  <si>
    <t>30° 58' 43.37346" N</t>
  </si>
  <si>
    <t>87° 14' 2.42333" W</t>
  </si>
  <si>
    <t>1879'FNL&amp;841'FWL</t>
  </si>
  <si>
    <t>10-3/4"@ 3615'</t>
  </si>
  <si>
    <t>15524-15561</t>
  </si>
  <si>
    <t>15534-15543</t>
  </si>
  <si>
    <t>14800-15600 3491-3780 Surface plug?</t>
  </si>
  <si>
    <t>0903320035</t>
  </si>
  <si>
    <t>Landowner saw surface plug set but not O&amp;G inspector</t>
  </si>
  <si>
    <t>OG_791</t>
  </si>
  <si>
    <t>SWD SYSTEM #5 WELL #1</t>
  </si>
  <si>
    <t>30° 55' 53.03633" N</t>
  </si>
  <si>
    <t>87° 9' 0.29124" W</t>
  </si>
  <si>
    <t xml:space="preserve">2485'FSL&amp;1818'FWL </t>
  </si>
  <si>
    <t>9-5/8"@ 1507'</t>
  </si>
  <si>
    <t>7"@ 6597'</t>
  </si>
  <si>
    <t>2-7/8"@ 6117'</t>
  </si>
  <si>
    <t>6540-6592</t>
  </si>
  <si>
    <t>6540-6092,2150-1896,1855-1516,1507-1045,200-0</t>
  </si>
  <si>
    <t>0911320142</t>
  </si>
  <si>
    <t>EPA ID # FLS1130052/FLI0016</t>
  </si>
  <si>
    <t>OG_792</t>
  </si>
  <si>
    <t>26° 37' 51.97984" N</t>
  </si>
  <si>
    <t>81° 41' 58.79144" W</t>
  </si>
  <si>
    <t xml:space="preserve">1045'FSL&amp;1633'FEL </t>
  </si>
  <si>
    <t>0907120057</t>
  </si>
  <si>
    <t>OG_793</t>
  </si>
  <si>
    <t>D E WILKERSON #12-4</t>
  </si>
  <si>
    <t>4S12 4N 19W</t>
  </si>
  <si>
    <t>30° 51' 9.86489" N</t>
  </si>
  <si>
    <t>86° 5' 33.57733" W</t>
  </si>
  <si>
    <t xml:space="preserve">450'FSL&amp;1653'FEL </t>
  </si>
  <si>
    <t>Hole caved in rig skidded surface filled in</t>
  </si>
  <si>
    <t>0913120006</t>
  </si>
  <si>
    <t>Ground caved under rig it was skidded 75'SE</t>
  </si>
  <si>
    <t>793A</t>
  </si>
  <si>
    <t>D E WILKERSON #12-4A</t>
  </si>
  <si>
    <t>30° 51' 9.16902" N</t>
  </si>
  <si>
    <t>86° 5' 34.02139" W</t>
  </si>
  <si>
    <t xml:space="preserve">401'FSL&amp;1653'FEL </t>
  </si>
  <si>
    <t>20"@163'</t>
  </si>
  <si>
    <t>8-5/8"@1494'</t>
  </si>
  <si>
    <t>1422?</t>
  </si>
  <si>
    <t>0913120007</t>
  </si>
  <si>
    <t>OG_794</t>
  </si>
  <si>
    <t>SFU #33-2A</t>
  </si>
  <si>
    <t>DIL BHCS CNLDN CALIPER</t>
  </si>
  <si>
    <t>26° 31' 23.84922" N</t>
  </si>
  <si>
    <t>81° 26' 0.37759" W</t>
  </si>
  <si>
    <t>2200'FNL&amp;500'FWL</t>
  </si>
  <si>
    <t>20"@198'</t>
  </si>
  <si>
    <t>13-3/8"@1318'</t>
  </si>
  <si>
    <t>9-5/8"@3528'</t>
  </si>
  <si>
    <t>5-1/2"@11575'</t>
  </si>
  <si>
    <t>2-7/8"@5500'</t>
  </si>
  <si>
    <t>293Bbls</t>
  </si>
  <si>
    <t>22MCF</t>
  </si>
  <si>
    <t>7Bbls</t>
  </si>
  <si>
    <t>11466-11472</t>
  </si>
  <si>
    <t>11466-10980,3478-3249,2152-4</t>
  </si>
  <si>
    <t>0905120063</t>
  </si>
  <si>
    <t>OG_795</t>
  </si>
  <si>
    <t>USA #44 (29-13)</t>
  </si>
  <si>
    <t>3S44 16S 28E</t>
  </si>
  <si>
    <t>29° 4' 12.89248" N</t>
  </si>
  <si>
    <t>81° 31' 16.85316" W</t>
  </si>
  <si>
    <t>6956'S&amp;5831'E OF NW/C Sec 44</t>
  </si>
  <si>
    <t>30"@ 188</t>
  </si>
  <si>
    <t>20"@ 286</t>
  </si>
  <si>
    <t>13-3/8"@ 1187</t>
  </si>
  <si>
    <t>9-5/8"@ 2951</t>
  </si>
  <si>
    <t>3100-2800,951-751,325-225,25-5</t>
  </si>
  <si>
    <t>0906920003</t>
  </si>
  <si>
    <t>OG_796</t>
  </si>
  <si>
    <t>R J PITTS #6-4</t>
  </si>
  <si>
    <t>4S6 3N 26W</t>
  </si>
  <si>
    <t>30° 47' 26.79472" N</t>
  </si>
  <si>
    <t>86° 52' 37.00301" W</t>
  </si>
  <si>
    <t>1165'FSL&amp;1080'FEL</t>
  </si>
  <si>
    <t>10-3/4"@ 3675'</t>
  </si>
  <si>
    <t>15345-15414 CHIPS</t>
  </si>
  <si>
    <t>14842-15760 3510-3820 30-60</t>
  </si>
  <si>
    <t>0911320143</t>
  </si>
  <si>
    <t>OG_797</t>
  </si>
  <si>
    <t>GERRY BROTHERS #35-3</t>
  </si>
  <si>
    <t>3S35 49S 31E</t>
  </si>
  <si>
    <t>26° 10' 16.17791" N</t>
  </si>
  <si>
    <t>81° 11' 58.20432" W</t>
  </si>
  <si>
    <t xml:space="preserve">1483'FSL&amp;1476'FWL </t>
  </si>
  <si>
    <t>0902120049</t>
  </si>
  <si>
    <t>OG_798</t>
  </si>
  <si>
    <t>GERRY BROTHERS #33-3</t>
  </si>
  <si>
    <t>3S33 49S 31E</t>
  </si>
  <si>
    <t>26° 10' 8.34913" N</t>
  </si>
  <si>
    <t>81° 13' 58.95268" W</t>
  </si>
  <si>
    <t xml:space="preserve">994'FSL&amp;1061'FWL </t>
  </si>
  <si>
    <t>0902120050</t>
  </si>
  <si>
    <t>OG_799</t>
  </si>
  <si>
    <t>GERRY BROTHERS #34-4</t>
  </si>
  <si>
    <t>4S34 49S 31E</t>
  </si>
  <si>
    <t>26° 10' 12.32276" N</t>
  </si>
  <si>
    <t>81° 12' 25.17791" W</t>
  </si>
  <si>
    <t xml:space="preserve">1146'FSL&amp;969'FEL </t>
  </si>
  <si>
    <t>20"@ 258</t>
  </si>
  <si>
    <t>13-3/8"@ 1355</t>
  </si>
  <si>
    <t>9-5/8"@ 3644</t>
  </si>
  <si>
    <t>11537-11629</t>
  </si>
  <si>
    <t>11880-10980,3800-3300,1400-1100,150-10</t>
  </si>
  <si>
    <t>0902120051</t>
  </si>
  <si>
    <t>OG_800</t>
  </si>
  <si>
    <t>GCRC #2-5</t>
  </si>
  <si>
    <t>26° 14' 53.98277" N</t>
  </si>
  <si>
    <t>81° 17' 46.06914" W</t>
  </si>
  <si>
    <t>1562'FNL&amp;1316'FWL</t>
  </si>
  <si>
    <t>155South&amp;2254East of Surface</t>
  </si>
  <si>
    <t>13-3/8"@1650'</t>
  </si>
  <si>
    <t>9-5/8" @ 3598'</t>
  </si>
  <si>
    <t>7" @12154'</t>
  </si>
  <si>
    <t>2 7/8" @ 12036'</t>
  </si>
  <si>
    <t>11879-12096</t>
  </si>
  <si>
    <t>12047-12068</t>
  </si>
  <si>
    <t>0902120052</t>
  </si>
  <si>
    <t>OG_801</t>
  </si>
  <si>
    <t>GCRC #3-5</t>
  </si>
  <si>
    <t>1S3 49S 30E</t>
  </si>
  <si>
    <t>26° 14' 54.2828" N</t>
  </si>
  <si>
    <t>81° 18' 15.98912" W</t>
  </si>
  <si>
    <t>1554'FNL&amp;1327'FEL</t>
  </si>
  <si>
    <t>20" @ 200'</t>
  </si>
  <si>
    <t>13-3/8"@1700'</t>
  </si>
  <si>
    <t>7"@ 11608</t>
  </si>
  <si>
    <t>3-1/2" @ 4963'</t>
  </si>
  <si>
    <t>11429-11608</t>
  </si>
  <si>
    <t>332 BOPD</t>
  </si>
  <si>
    <t>27 BWPD</t>
  </si>
  <si>
    <t>10123-10841 3663-3680 3296-3584 1511-2126 1150-1215 282-683 0-111</t>
  </si>
  <si>
    <t>0902120053</t>
  </si>
  <si>
    <t>OG_802</t>
  </si>
  <si>
    <t>GCRC #2-6</t>
  </si>
  <si>
    <t>2S6 49S 30E</t>
  </si>
  <si>
    <t>26° 14' 50.63302" N</t>
  </si>
  <si>
    <t>81° 21' 42.31501" W</t>
  </si>
  <si>
    <t>1581'FNL&amp;1313'FWL</t>
  </si>
  <si>
    <t>7"@ 11602</t>
  </si>
  <si>
    <t>2-7/8"@ 5000'</t>
  </si>
  <si>
    <t>11414-11602</t>
  </si>
  <si>
    <t>612 BOPD</t>
  </si>
  <si>
    <t>8 BSWPD</t>
  </si>
  <si>
    <t>11565-11575,11594-11601</t>
  </si>
  <si>
    <t>10970-11371 3190-3568 550-2041 0-180</t>
  </si>
  <si>
    <t>0902120054</t>
  </si>
  <si>
    <t>OG_803</t>
  </si>
  <si>
    <t>OLEUM CORP #5-2</t>
  </si>
  <si>
    <t>2S5 52S 31E</t>
  </si>
  <si>
    <t>25° 58' 32.92439" N</t>
  </si>
  <si>
    <t>81° 14' 28.91652" W</t>
  </si>
  <si>
    <t>1342'FNL&amp;1589'FWL</t>
  </si>
  <si>
    <t>20"@ 246'</t>
  </si>
  <si>
    <t>13-3/8"@ 1361'</t>
  </si>
  <si>
    <t>9-5/8" @ 3712'</t>
  </si>
  <si>
    <t>13081-13255</t>
  </si>
  <si>
    <t>3570-3770 1250-1450 0-150</t>
  </si>
  <si>
    <t>0902120055</t>
  </si>
  <si>
    <t>OG_804</t>
  </si>
  <si>
    <t>CTLC #27-1</t>
  </si>
  <si>
    <t>CALIPER</t>
  </si>
  <si>
    <t>1S27 44S 26E</t>
  </si>
  <si>
    <t>26° 37' 51.11512" N</t>
  </si>
  <si>
    <t>81° 42' 0.7555" W</t>
  </si>
  <si>
    <t>1030'FSL&amp;1750'FEL Sec 22</t>
  </si>
  <si>
    <t>1331'FNL&amp;1304'FWL Sec27</t>
  </si>
  <si>
    <t>20"@232'</t>
  </si>
  <si>
    <t>9-5/8" @ 3589'</t>
  </si>
  <si>
    <t>7" @12210'</t>
  </si>
  <si>
    <t>3-1/2" @ 5461'</t>
  </si>
  <si>
    <t>236 BOPD</t>
  </si>
  <si>
    <t>TRTM</t>
  </si>
  <si>
    <t>419 BSWPD</t>
  </si>
  <si>
    <t>12100-12105</t>
  </si>
  <si>
    <t>12039-12172 3288-3520 1721-1950 1075-1672 530-930 0-200</t>
  </si>
  <si>
    <t>0907120058</t>
  </si>
  <si>
    <t>OG_805</t>
  </si>
  <si>
    <t>FLOYD UNIT #6-2</t>
  </si>
  <si>
    <t>2S6 4N 28W</t>
  </si>
  <si>
    <t>30° 53' 24.58605" N</t>
  </si>
  <si>
    <t>87° 5' 11.86296" W</t>
  </si>
  <si>
    <t>1147'FNL&amp;1020'FWL</t>
  </si>
  <si>
    <t>18"@ 85'</t>
  </si>
  <si>
    <t>9-5/8"@ 3804'</t>
  </si>
  <si>
    <t>15305-15242</t>
  </si>
  <si>
    <t>14762-15701 3604-3954 5-55</t>
  </si>
  <si>
    <t>0911320144</t>
  </si>
  <si>
    <t>OG_806</t>
  </si>
  <si>
    <t>SFU #29-4A</t>
  </si>
  <si>
    <t>26° 32' 8.32524" N</t>
  </si>
  <si>
    <t>81° 26' 5.62016" W</t>
  </si>
  <si>
    <t>2292'FSL&amp;75'FEL</t>
  </si>
  <si>
    <t>1350FSL&amp;1300FEL</t>
  </si>
  <si>
    <t>20"@205'</t>
  </si>
  <si>
    <t>13-3/8"@ 1304'</t>
  </si>
  <si>
    <t>5-1/2"@ 11600'</t>
  </si>
  <si>
    <t>2-7/8"@ 5520'</t>
  </si>
  <si>
    <t>146 BOPD</t>
  </si>
  <si>
    <t>12MCF</t>
  </si>
  <si>
    <t>192 BWPD</t>
  </si>
  <si>
    <t>11466-11471</t>
  </si>
  <si>
    <t>11387-10695,3475-3270,0-1979</t>
  </si>
  <si>
    <t>0905120064</t>
  </si>
  <si>
    <t>OG_807</t>
  </si>
  <si>
    <t>CLEARY PETROLEUM CORP</t>
  </si>
  <si>
    <t>COLEMAN KELLY TRUST #1</t>
  </si>
  <si>
    <t>30° 23' 39.99181" N</t>
  </si>
  <si>
    <t>86° 24' 25.14082" W</t>
  </si>
  <si>
    <t>5007'N of Hwy 98&amp;3146'W of Walton Cty. Line</t>
  </si>
  <si>
    <t>0909120004</t>
  </si>
  <si>
    <t>Repermitted as P# 970</t>
  </si>
  <si>
    <t>OG_808</t>
  </si>
  <si>
    <t>SWD SYSTEM #1 WELL #2</t>
  </si>
  <si>
    <t>30° 57' 48.63269" N</t>
  </si>
  <si>
    <t>87° 10' 58.69355" W</t>
  </si>
  <si>
    <t>1690'FNL&amp;3369'FEL of Sec 9</t>
  </si>
  <si>
    <t>16" @ 103</t>
  </si>
  <si>
    <t>9-5/8"@ 2166'</t>
  </si>
  <si>
    <t>7" @ 6599'</t>
  </si>
  <si>
    <t>6310-6540</t>
  </si>
  <si>
    <t>0911320145</t>
  </si>
  <si>
    <t>EPA ID # FLS1130042/FLI0008</t>
  </si>
  <si>
    <t>OG_809</t>
  </si>
  <si>
    <t>SFU #29-12</t>
  </si>
  <si>
    <t>26° 31' 49.42481" N</t>
  </si>
  <si>
    <t>81° 26' 31.86755" W</t>
  </si>
  <si>
    <t xml:space="preserve">370'FSL&amp;2400'FEL </t>
  </si>
  <si>
    <t>9-5/8"@ 3510'</t>
  </si>
  <si>
    <t>5-1/2"@ 11589'</t>
  </si>
  <si>
    <t>2-1/2"@ 7037'</t>
  </si>
  <si>
    <t>87 BOPD</t>
  </si>
  <si>
    <t>356 BWPD</t>
  </si>
  <si>
    <t>11480-11486</t>
  </si>
  <si>
    <t>11574-11315,3240-3450,2096-1590,1470-1148,780-380 4-100</t>
  </si>
  <si>
    <t>0905120065</t>
  </si>
  <si>
    <t>OG_810</t>
  </si>
  <si>
    <t>RED CATTLE B #19-1</t>
  </si>
  <si>
    <t>1S19 45S 28E</t>
  </si>
  <si>
    <t>26° 33' 4.98253" N</t>
  </si>
  <si>
    <t>81° 33' 13.98885" W</t>
  </si>
  <si>
    <t>1995'FNL &amp;2080'FEL</t>
  </si>
  <si>
    <t>13-3/8" @ 1337'</t>
  </si>
  <si>
    <t>9-5/8" @ 3532'</t>
  </si>
  <si>
    <t>5-1/2" @ 11582'</t>
  </si>
  <si>
    <t>2-7/8" @ 11534'</t>
  </si>
  <si>
    <t>11472-12142</t>
  </si>
  <si>
    <t>517 BOPD</t>
  </si>
  <si>
    <t>39 MCF</t>
  </si>
  <si>
    <t>11475-480 11484-489</t>
  </si>
  <si>
    <t>10746-11438 3227-3440 1120-1726 0-855</t>
  </si>
  <si>
    <t>0905120066</t>
  </si>
  <si>
    <t>OG_811</t>
  </si>
  <si>
    <t>MARION CORP</t>
  </si>
  <si>
    <t>W H HENDRICKS ETAL #3-1</t>
  </si>
  <si>
    <t>4S3 5N 29W</t>
  </si>
  <si>
    <t>30° 58' 43.99396" N</t>
  </si>
  <si>
    <t>87° 7' 9.79309" W</t>
  </si>
  <si>
    <t xml:space="preserve">716'FNL&amp;660'FWL </t>
  </si>
  <si>
    <t>16" @ 80</t>
  </si>
  <si>
    <t>9-5/8"@ 3790'</t>
  </si>
  <si>
    <t>14630-15479 3690-3940 0-25</t>
  </si>
  <si>
    <t>0911320146</t>
  </si>
  <si>
    <t>OG_812</t>
  </si>
  <si>
    <t>CTLC #27-2</t>
  </si>
  <si>
    <t>2S27 44S 26E</t>
  </si>
  <si>
    <t>26° 37' 37.3947" N</t>
  </si>
  <si>
    <t>81° 42' 23.86903" W</t>
  </si>
  <si>
    <t xml:space="preserve">365'FNL&amp;1524'FWL </t>
  </si>
  <si>
    <t>1318'FWL &amp; 1331'FNL</t>
  </si>
  <si>
    <t>9-5/8"@ 3554'</t>
  </si>
  <si>
    <t>2-7/8"@ 2029'</t>
  </si>
  <si>
    <t>11485-11563</t>
  </si>
  <si>
    <t>10698-11740 3200-3750 1570-524, 350-4</t>
  </si>
  <si>
    <t>0907120059</t>
  </si>
  <si>
    <t>OG_813</t>
  </si>
  <si>
    <t>LEHIGH-CTLC #27-4</t>
  </si>
  <si>
    <t>4S27 44S 26E</t>
  </si>
  <si>
    <t>26° 37' 17.01701" N</t>
  </si>
  <si>
    <t>81° 42' 9.67557" W</t>
  </si>
  <si>
    <t>2488'FNL&amp;2513'FEL</t>
  </si>
  <si>
    <t>20"@238'</t>
  </si>
  <si>
    <t>13-3/8"@ 1504'</t>
  </si>
  <si>
    <t>12061-12166</t>
  </si>
  <si>
    <t>11449-12166 6202-7000</t>
  </si>
  <si>
    <t>0907120060</t>
  </si>
  <si>
    <t>P# 842 kicked off from this wellbore</t>
  </si>
  <si>
    <t>OG_814</t>
  </si>
  <si>
    <t>BCC #16-3</t>
  </si>
  <si>
    <t>3S16 6S 6W</t>
  </si>
  <si>
    <t>29° 57' 1.05456" N</t>
  </si>
  <si>
    <t>84° 50' 52.12853" W</t>
  </si>
  <si>
    <t>1320'FSL&amp;1620'FWL</t>
  </si>
  <si>
    <t>20"@ 109'</t>
  </si>
  <si>
    <t>13-3/8"@ 939'</t>
  </si>
  <si>
    <t>9-5/8"@ 3,164'</t>
  </si>
  <si>
    <t>11694-11902</t>
  </si>
  <si>
    <t>11950-11805,3514-2865,100-0</t>
  </si>
  <si>
    <t>0903720002</t>
  </si>
  <si>
    <t>OG_815</t>
  </si>
  <si>
    <t>SRPC #15-W</t>
  </si>
  <si>
    <t>2S15 4N 29W</t>
  </si>
  <si>
    <t>30° 51' 29.6865" N</t>
  </si>
  <si>
    <t>87° 8' 7.60132" W</t>
  </si>
  <si>
    <t xml:space="preserve">2640'FNL&amp;1980'FWL </t>
  </si>
  <si>
    <t>16" @ 100</t>
  </si>
  <si>
    <t>9-5/8"@ 3929'</t>
  </si>
  <si>
    <t>7" @16256'</t>
  </si>
  <si>
    <t>3-1/2" @ 15933'</t>
  </si>
  <si>
    <t>15873-15931</t>
  </si>
  <si>
    <t>16061-16144</t>
  </si>
  <si>
    <t>0911320147</t>
  </si>
  <si>
    <t>EPA ID # FLS1130003</t>
  </si>
  <si>
    <t>OG_816</t>
  </si>
  <si>
    <t>CTLC #21-4</t>
  </si>
  <si>
    <t>4S21 44S 26E</t>
  </si>
  <si>
    <t>26° 37' 52.14965" N</t>
  </si>
  <si>
    <t>81° 42' 53.86339" W</t>
  </si>
  <si>
    <t xml:space="preserve">1180'FSL&amp;1262'FEL </t>
  </si>
  <si>
    <t>0907120061</t>
  </si>
  <si>
    <t>OG_817</t>
  </si>
  <si>
    <t>LAD-CTLC #10-4</t>
  </si>
  <si>
    <t>26° 34' 18.59894" N</t>
  </si>
  <si>
    <t>81° 35' 59.9852" W</t>
  </si>
  <si>
    <t xml:space="preserve">501'FSL&amp;980'FEL </t>
  </si>
  <si>
    <t>752'FSL&amp;1010'FEL</t>
  </si>
  <si>
    <t>9-5/8"@ 3610'</t>
  </si>
  <si>
    <t>10880-11567 3200-3477 1086-1356 0-150</t>
  </si>
  <si>
    <t>0907120062</t>
  </si>
  <si>
    <t>OG_818</t>
  </si>
  <si>
    <t>ASHLAND OIL INC</t>
  </si>
  <si>
    <t>COLLIER CO #26-3</t>
  </si>
  <si>
    <t>3S26 46S 30E</t>
  </si>
  <si>
    <t>26° 26' 42.10332" N</t>
  </si>
  <si>
    <t>81° 18' 4.30474" W</t>
  </si>
  <si>
    <t>1320'FSL&amp;918'FWL</t>
  </si>
  <si>
    <t>0902120056</t>
  </si>
  <si>
    <t>OG_819</t>
  </si>
  <si>
    <t>COLLIER-READ #11-2</t>
  </si>
  <si>
    <t>2S11 51S 27E</t>
  </si>
  <si>
    <t>26° 2' 46.98587" N</t>
  </si>
  <si>
    <t>81° 35' 2.93243" W</t>
  </si>
  <si>
    <t>1325'FNL&amp;1374'FWL</t>
  </si>
  <si>
    <t>0902120057</t>
  </si>
  <si>
    <t>OG_820</t>
  </si>
  <si>
    <t>OLEUM CORP #18-2</t>
  </si>
  <si>
    <t>2S18 53S 32E</t>
  </si>
  <si>
    <t>25° 51' 34.77416" N</t>
  </si>
  <si>
    <t>81° 9' 41.39723" W</t>
  </si>
  <si>
    <t>1118'FNL&amp;1194'FWL</t>
  </si>
  <si>
    <t>0902120058</t>
  </si>
  <si>
    <t>OG_821</t>
  </si>
  <si>
    <t>GCRC #1-4</t>
  </si>
  <si>
    <t>4S1 49S 30E</t>
  </si>
  <si>
    <t>26° 13' 59.59661" N</t>
  </si>
  <si>
    <t>81° 16' 16.40638" W</t>
  </si>
  <si>
    <t xml:space="preserve">1759'FSL&amp;1059'FEL </t>
  </si>
  <si>
    <t>13-3/8"@1327'</t>
  </si>
  <si>
    <t>11620-11654</t>
  </si>
  <si>
    <t>11598-11629</t>
  </si>
  <si>
    <t>11373-11659 3520-3720 1217-1417 0-150</t>
  </si>
  <si>
    <t>0902120059</t>
  </si>
  <si>
    <t>OG_822</t>
  </si>
  <si>
    <t>GCRC #3-1</t>
  </si>
  <si>
    <t>DIL BHCS XYCALIPER</t>
  </si>
  <si>
    <t>26° 14' 52.9828" N</t>
  </si>
  <si>
    <t>81° 18' 16.98913" W</t>
  </si>
  <si>
    <t>1670'FNL&amp;1415'FEL</t>
  </si>
  <si>
    <t>2560'S &amp; 301'E OF SHL</t>
  </si>
  <si>
    <t>20"@310'</t>
  </si>
  <si>
    <t>13-3/8"@1642'</t>
  </si>
  <si>
    <t>9-5/8"@4015'</t>
  </si>
  <si>
    <t>7" @12248'</t>
  </si>
  <si>
    <t>2-7/8"@ 4215'</t>
  </si>
  <si>
    <t>12190-12248</t>
  </si>
  <si>
    <t>6 BSWPD</t>
  </si>
  <si>
    <t>12238-242</t>
  </si>
  <si>
    <t>12248-11837 3726-3967 1453-2235 1178-1244 282-683 0-120</t>
  </si>
  <si>
    <t>0902120060</t>
  </si>
  <si>
    <t>OG_823</t>
  </si>
  <si>
    <t>GCRC #3-6</t>
  </si>
  <si>
    <t>2S3 49S 30E</t>
  </si>
  <si>
    <t>26° 14' 53.21799" N</t>
  </si>
  <si>
    <t>81° 18' 16.22489" W</t>
  </si>
  <si>
    <t>1818'FNL&amp;1418'FEL</t>
  </si>
  <si>
    <t>1818'FNL&amp;1415'FEL</t>
  </si>
  <si>
    <t>20"@ 245'</t>
  </si>
  <si>
    <t>9-5/8"@ 3970'</t>
  </si>
  <si>
    <t>7" @12180'</t>
  </si>
  <si>
    <t>12135-12180</t>
  </si>
  <si>
    <t>12164-12173</t>
  </si>
  <si>
    <t>10440-12180 3598-3920 1364-2045 1150-1260 675-920 433-570 0-100</t>
  </si>
  <si>
    <t>0902120061</t>
  </si>
  <si>
    <t>EPA ID# FLS 0210004</t>
  </si>
  <si>
    <t>OG_824</t>
  </si>
  <si>
    <t>GCRC #11-1</t>
  </si>
  <si>
    <t>DIL CNLDN CALIPER</t>
  </si>
  <si>
    <t>1S11 49S 30E</t>
  </si>
  <si>
    <t>26° 13' 38.59979" N</t>
  </si>
  <si>
    <t>81° 17' 6.75834" W</t>
  </si>
  <si>
    <t xml:space="preserve">320'FNL&amp;510'FEL </t>
  </si>
  <si>
    <t>1320'FEL &amp; 1281'FWL</t>
  </si>
  <si>
    <t>20"@ 205</t>
  </si>
  <si>
    <t>9-5/8"@ 3612</t>
  </si>
  <si>
    <t>13-3/8"@ 1330</t>
  </si>
  <si>
    <t>7"@ 11754</t>
  </si>
  <si>
    <t>2-7/8"@ 5580</t>
  </si>
  <si>
    <t>11559-11754</t>
  </si>
  <si>
    <t>5 BOPD</t>
  </si>
  <si>
    <t>11702-11705, 11710-11718</t>
  </si>
  <si>
    <t>11725-11187,3550-3318,2180-2116,1837-1445,736-592</t>
  </si>
  <si>
    <t>0902120062</t>
  </si>
  <si>
    <t>EPA ID# FLS 0210005</t>
  </si>
  <si>
    <t>OG_825</t>
  </si>
  <si>
    <t>GCRC #11-4</t>
  </si>
  <si>
    <t>CALIPER DIL BHCS CNLDN FORMATION TESTER LITH LOG</t>
  </si>
  <si>
    <t>4S11 49S 30E</t>
  </si>
  <si>
    <t>26° 13' 9.39488" N</t>
  </si>
  <si>
    <t>81° 17' 8.42039" W</t>
  </si>
  <si>
    <t>1979'FSL&amp;659'FEL</t>
  </si>
  <si>
    <t>13-3/8"@ 1678'</t>
  </si>
  <si>
    <t>9-5/8"@ 4064'</t>
  </si>
  <si>
    <t>7"@ 11636</t>
  </si>
  <si>
    <t>2-7/8"@ 11611'</t>
  </si>
  <si>
    <t>11587-11635.5</t>
  </si>
  <si>
    <t>11587-11634</t>
  </si>
  <si>
    <t>11426-11650 3792-4014 1383-2200 757-1080 370-580 0-200</t>
  </si>
  <si>
    <t>0902120063</t>
  </si>
  <si>
    <t>EPA ID# FLS 0210006</t>
  </si>
  <si>
    <t>OG_826</t>
  </si>
  <si>
    <t>GCRC #12-3</t>
  </si>
  <si>
    <t>26° 12' 58.33807" N</t>
  </si>
  <si>
    <t>81° 16' 49.15081" W</t>
  </si>
  <si>
    <t>1044'FSL&amp;993'FWL</t>
  </si>
  <si>
    <t>0902120064</t>
  </si>
  <si>
    <t>OG_827</t>
  </si>
  <si>
    <t>GCRC #34-4</t>
  </si>
  <si>
    <t>4S34 48S 30E</t>
  </si>
  <si>
    <t>26° 15' 31.25212" N</t>
  </si>
  <si>
    <t>81° 18' 14.79226" W</t>
  </si>
  <si>
    <t>2150'FSL&amp;1082'FEL</t>
  </si>
  <si>
    <t>1320'FNL&amp;1320.8'FSL</t>
  </si>
  <si>
    <t>9-5/8"@ 4023'</t>
  </si>
  <si>
    <t>7" @ 11855'</t>
  </si>
  <si>
    <t>2-7/8"@ 11751'</t>
  </si>
  <si>
    <t>11567-12109</t>
  </si>
  <si>
    <t>79 BOPD</t>
  </si>
  <si>
    <t>583 BSWPD</t>
  </si>
  <si>
    <t>11744-11751</t>
  </si>
  <si>
    <t xml:space="preserve">11534-11749 3570-3973 1137-2070 573-1013 0-200 </t>
  </si>
  <si>
    <t>0902120065</t>
  </si>
  <si>
    <t>OG_828</t>
  </si>
  <si>
    <t>RACCOON POINT</t>
  </si>
  <si>
    <t>OLEUM CORP #32-4</t>
  </si>
  <si>
    <t>4S33 51S 34E</t>
  </si>
  <si>
    <t>25° 58' 56.4665" N</t>
  </si>
  <si>
    <t>80° 55' 32.09247" W</t>
  </si>
  <si>
    <t xml:space="preserve">967'FSL&amp;1132'FEL </t>
  </si>
  <si>
    <t>0902120066</t>
  </si>
  <si>
    <t>OG_829</t>
  </si>
  <si>
    <t>OLEUM CORP #33-4</t>
  </si>
  <si>
    <t>25° 58' 57.38504" N</t>
  </si>
  <si>
    <t>80° 55' 32.20669" W</t>
  </si>
  <si>
    <t xml:space="preserve">1069'FSL&amp;1235'FEL </t>
  </si>
  <si>
    <t>20"@ 262'</t>
  </si>
  <si>
    <t>13-3/8"@ 1500'</t>
  </si>
  <si>
    <t>9-5/8"@ 4000'</t>
  </si>
  <si>
    <t>7"@ 11650'</t>
  </si>
  <si>
    <t>2-7/8"@ 11364'</t>
  </si>
  <si>
    <t>11230-11658</t>
  </si>
  <si>
    <t>103 BOPD</t>
  </si>
  <si>
    <t>240 BWPD</t>
  </si>
  <si>
    <t>11410-11414</t>
  </si>
  <si>
    <t>11410-10939,3950-3725,2330-1330,800-637,440-300 4-100</t>
  </si>
  <si>
    <t>0902120067</t>
  </si>
  <si>
    <t>Raccoon Point Field discovery well</t>
  </si>
  <si>
    <t>OG_830</t>
  </si>
  <si>
    <t>OLEUM CORP #13-3</t>
  </si>
  <si>
    <t>3S13 48S 32E</t>
  </si>
  <si>
    <t>26° 18' 13.15479" N</t>
  </si>
  <si>
    <t>81° 5' 14.39068" W</t>
  </si>
  <si>
    <t>1322'FSL&amp;1341'FWL</t>
  </si>
  <si>
    <t>13-3/8" @ 1416'</t>
  </si>
  <si>
    <t>9-5/8"@ 3977'</t>
  </si>
  <si>
    <t>5-1/2"@11654'</t>
  </si>
  <si>
    <t>2-7/8"@ 11593'</t>
  </si>
  <si>
    <t>11349-11478 CHIPS</t>
  </si>
  <si>
    <t>9.75 BOPD</t>
  </si>
  <si>
    <t>131 BWPD</t>
  </si>
  <si>
    <t>11403-11411</t>
  </si>
  <si>
    <t>11150-11500 6050-6350 3850-4050 1280-1480 0-150</t>
  </si>
  <si>
    <t>0905120067</t>
  </si>
  <si>
    <t>OG_831</t>
  </si>
  <si>
    <t>STATE OF FLORIDA ETAL #31-1</t>
  </si>
  <si>
    <t>1S31 49S 31E</t>
  </si>
  <si>
    <t>26° 10' 35.92045" N</t>
  </si>
  <si>
    <t>81° 15' 17.44866" W</t>
  </si>
  <si>
    <t>1320'FNL&amp;920'FEL</t>
  </si>
  <si>
    <t>13-3/8" @ 1418'</t>
  </si>
  <si>
    <t>9-5/8"@ 3614'</t>
  </si>
  <si>
    <t>11468-11752</t>
  </si>
  <si>
    <t>11588-11748</t>
  </si>
  <si>
    <t>11200-11850 3473-3684 1280-1452 0-150</t>
  </si>
  <si>
    <t>0902120068</t>
  </si>
  <si>
    <t>OG_832</t>
  </si>
  <si>
    <t>GERRY BROTHERS &amp; CO LTD #6-3</t>
  </si>
  <si>
    <t>3S6 49S 31E</t>
  </si>
  <si>
    <t>26° 14' 31.65299" N</t>
  </si>
  <si>
    <t>81° 15' 55.6902" W</t>
  </si>
  <si>
    <t>1320'FSL&amp;920'FWL</t>
  </si>
  <si>
    <t>0902120069</t>
  </si>
  <si>
    <t>OG_833</t>
  </si>
  <si>
    <t>GERRY BROTHERS &amp; CO LTD #7-2</t>
  </si>
  <si>
    <t>2S7 49S 31E</t>
  </si>
  <si>
    <t>26° 14' 5.49074" N</t>
  </si>
  <si>
    <t>81° 15' 55.31425" W</t>
  </si>
  <si>
    <t>1320'FNL&amp;920'FWL</t>
  </si>
  <si>
    <t>0902120070</t>
  </si>
  <si>
    <t>OG_834</t>
  </si>
  <si>
    <t>PRICE-FSL 2678 #35-4</t>
  </si>
  <si>
    <t>4S35 48S 30E</t>
  </si>
  <si>
    <t>26° 15' 26.99593" N</t>
  </si>
  <si>
    <t>81° 17' 48.95761" W</t>
  </si>
  <si>
    <t>1721'FSL&amp;1318'FWL</t>
  </si>
  <si>
    <t>0902120071</t>
  </si>
  <si>
    <t>OG_835</t>
  </si>
  <si>
    <t>ALICO #21-4</t>
  </si>
  <si>
    <t>4S21 46S 30E</t>
  </si>
  <si>
    <t>26° 27' 38.09174" N</t>
  </si>
  <si>
    <t>81° 19' 29.93174" W</t>
  </si>
  <si>
    <t>1655' FSL&amp;1328'FEL</t>
  </si>
  <si>
    <t>13-3/8" @ 1400'</t>
  </si>
  <si>
    <t>11395-11812 3350-3550 1300-1500 10-150</t>
  </si>
  <si>
    <t>0902120072</t>
  </si>
  <si>
    <t>OG_836</t>
  </si>
  <si>
    <t>PRICE-FSL 2678 #35-3A</t>
  </si>
  <si>
    <t>26° 15' 26.7374" N</t>
  </si>
  <si>
    <t>81° 17' 50.34269" W</t>
  </si>
  <si>
    <t>920'FSL&amp;1318'FWL</t>
  </si>
  <si>
    <t>30"@ 201</t>
  </si>
  <si>
    <t>20"@ 1396</t>
  </si>
  <si>
    <t>13-3/8"@ 4004</t>
  </si>
  <si>
    <t>11565-11730.5</t>
  </si>
  <si>
    <t>649 BOPD</t>
  </si>
  <si>
    <t>OH 11723-11730 MD</t>
  </si>
  <si>
    <t>11728-11357,4200-3900,1358-930,890-434,200-5</t>
  </si>
  <si>
    <t>0902120002-01</t>
  </si>
  <si>
    <t>Reentry of P# 380</t>
  </si>
  <si>
    <t>OG_837</t>
  </si>
  <si>
    <t>OLEUM CORP #25-4</t>
  </si>
  <si>
    <t>4S25 49S 30E</t>
  </si>
  <si>
    <t>26° 10' 26.8529" N</t>
  </si>
  <si>
    <t>81° 16' 10.70038" W</t>
  </si>
  <si>
    <t>1520'FSL&amp;920'FEL</t>
  </si>
  <si>
    <t>0902120074</t>
  </si>
  <si>
    <t>OG_838</t>
  </si>
  <si>
    <t>GCRC #1-2</t>
  </si>
  <si>
    <t>2S1 49S 30E</t>
  </si>
  <si>
    <t>26° 14' 28.3322" N</t>
  </si>
  <si>
    <t>81° 16' 48.43449" W</t>
  </si>
  <si>
    <t xml:space="preserve">4285'FNL&amp;1268'FWL </t>
  </si>
  <si>
    <t>13-3/8"@ 1736'</t>
  </si>
  <si>
    <t>7"@ 11613'</t>
  </si>
  <si>
    <t>2-7/8" 7500'</t>
  </si>
  <si>
    <t>11575-11613</t>
  </si>
  <si>
    <t>29 BSWPD</t>
  </si>
  <si>
    <t>11584-11604</t>
  </si>
  <si>
    <t>11247-11605 3726-3956 1579-2130 1272-1030 590-836 290-420 0-100</t>
  </si>
  <si>
    <t>0902120075</t>
  </si>
  <si>
    <t>EPA ID# FLS 0210002</t>
  </si>
  <si>
    <t>OG_839</t>
  </si>
  <si>
    <t>GCRC #1-6</t>
  </si>
  <si>
    <t>26° 14' 28.36748" N</t>
  </si>
  <si>
    <t>81° 16' 49.90181" W</t>
  </si>
  <si>
    <t xml:space="preserve">4271'FNL&amp;1153'FWL </t>
  </si>
  <si>
    <t>0902120076</t>
  </si>
  <si>
    <t>OG_840</t>
  </si>
  <si>
    <t>GCRC #12-1</t>
  </si>
  <si>
    <t>1S12 49S 30E</t>
  </si>
  <si>
    <t>26° 13' 35.04223" N</t>
  </si>
  <si>
    <t>81° 16' 22.71252" W</t>
  </si>
  <si>
    <t xml:space="preserve">753'FNL&amp;1618'FEL </t>
  </si>
  <si>
    <t>0902120077</t>
  </si>
  <si>
    <t>OG_841</t>
  </si>
  <si>
    <t>CTLC #26-2</t>
  </si>
  <si>
    <t>2S26 44S 26E</t>
  </si>
  <si>
    <t>26° 37' 11.02247" N</t>
  </si>
  <si>
    <t>81° 41' 29.86868" W</t>
  </si>
  <si>
    <t>2268'FSL&amp;1083'FWL</t>
  </si>
  <si>
    <t>1675'N&amp;199'E of SHL</t>
  </si>
  <si>
    <t>9-5/8"@ 3601'</t>
  </si>
  <si>
    <t>7"@ 11940'</t>
  </si>
  <si>
    <t>11680-11715</t>
  </si>
  <si>
    <t>241 BOPD</t>
  </si>
  <si>
    <t>11698-11708, 11716-11722</t>
  </si>
  <si>
    <t>0907120063</t>
  </si>
  <si>
    <t>OG_842</t>
  </si>
  <si>
    <t>LEHIGH-CTLC #26-3</t>
  </si>
  <si>
    <t>3S26 44S 26E</t>
  </si>
  <si>
    <t>26° 37' 11.57892" N</t>
  </si>
  <si>
    <t>81° 41' 30.72167" W</t>
  </si>
  <si>
    <t>2397'FSL&amp;1083'FWL</t>
  </si>
  <si>
    <t>1343FSL&amp;1344FWL</t>
  </si>
  <si>
    <t>11494-11577</t>
  </si>
  <si>
    <t>10848-11578 3300-3700 1314-1580 0-150</t>
  </si>
  <si>
    <t>0907120064</t>
  </si>
  <si>
    <t>Kicked off from P# 813 well bore</t>
  </si>
  <si>
    <t>OG_843</t>
  </si>
  <si>
    <t>GERRY BROTHERS &amp; CO LTD #32-2</t>
  </si>
  <si>
    <t>26° 10' 35.86274" N</t>
  </si>
  <si>
    <t>81° 14' 52.06178" W</t>
  </si>
  <si>
    <t>1320'FNL&amp;1400'FWL</t>
  </si>
  <si>
    <t>0902120078</t>
  </si>
  <si>
    <t>OG_844</t>
  </si>
  <si>
    <t>OLEUM CORP #25-1</t>
  </si>
  <si>
    <t>2S25 49S 31E</t>
  </si>
  <si>
    <t>26° 11' 31.68355" N</t>
  </si>
  <si>
    <t>81° 10' 28.46003" W</t>
  </si>
  <si>
    <t>1550'FNL&amp;970'FEL</t>
  </si>
  <si>
    <t>0902120079</t>
  </si>
  <si>
    <t>OG_845</t>
  </si>
  <si>
    <t>STATE OF FLORIDA #31-2</t>
  </si>
  <si>
    <t>2S31 49S 31E</t>
  </si>
  <si>
    <t>26° 10' 36.64978" N</t>
  </si>
  <si>
    <t>81° 15' 45.64307" W</t>
  </si>
  <si>
    <t>1220'FNL&amp;1320'FWL</t>
  </si>
  <si>
    <t>0902120080</t>
  </si>
  <si>
    <t>OG_846</t>
  </si>
  <si>
    <t>NEAL LUMBER &amp; MFG CO INC #20-3</t>
  </si>
  <si>
    <t>3S20 4S 10W</t>
  </si>
  <si>
    <t>30° 6' 59.52503" N</t>
  </si>
  <si>
    <t>85° 16' 7.2043" W</t>
  </si>
  <si>
    <t>1252'FSL&amp;1390'FWL</t>
  </si>
  <si>
    <t>20"@ 85'</t>
  </si>
  <si>
    <t>13-3/8"@ 484'</t>
  </si>
  <si>
    <t>9-5/8"@ 3545'</t>
  </si>
  <si>
    <t>12974-13564 CHIPS</t>
  </si>
  <si>
    <t>12000-13606 2315-3645 0-100</t>
  </si>
  <si>
    <t>0904520004</t>
  </si>
  <si>
    <t>OG_847</t>
  </si>
  <si>
    <t>FLORIDA STATE-INT IMP TR FND #18-1</t>
  </si>
  <si>
    <t>1S18 44S 26E</t>
  </si>
  <si>
    <t>26° 39' 11.77199" N</t>
  </si>
  <si>
    <t>81° 44' 56.31203" W</t>
  </si>
  <si>
    <t>1327'FNL&amp;1700'FEL</t>
  </si>
  <si>
    <t>20"@ 228'</t>
  </si>
  <si>
    <t>13-3/8"@ 1346'</t>
  </si>
  <si>
    <t>10641-11622 3250-3700 1103-1355 0-90</t>
  </si>
  <si>
    <t>0907120065</t>
  </si>
  <si>
    <t>OG_848</t>
  </si>
  <si>
    <t>ALICO INC #32-1</t>
  </si>
  <si>
    <t>1S32 44S 30E</t>
  </si>
  <si>
    <t>26° 36' 49.03394" N</t>
  </si>
  <si>
    <t>81° 20' 37.53136" W</t>
  </si>
  <si>
    <t>1672'FNL&amp;1490'FEL</t>
  </si>
  <si>
    <t>20"@ 194'</t>
  </si>
  <si>
    <t>13-3/8" @ 1431'</t>
  </si>
  <si>
    <t>11331-11470</t>
  </si>
  <si>
    <t>11600-11715 3450-3650 1300-1500 6-150</t>
  </si>
  <si>
    <t>0905120068</t>
  </si>
  <si>
    <t>OG_849</t>
  </si>
  <si>
    <t>BARRON COLLIER #9-2</t>
  </si>
  <si>
    <t>2S9 47S 28E</t>
  </si>
  <si>
    <t>26° 24' 16.83479" N</t>
  </si>
  <si>
    <t>81° 31' 31.42855" W</t>
  </si>
  <si>
    <t>1659'FNL&amp;1605'FWL</t>
  </si>
  <si>
    <t>20"@ 274'</t>
  </si>
  <si>
    <t>9-5/8" @ 3773'</t>
  </si>
  <si>
    <t>11661-11815 CHIPS</t>
  </si>
  <si>
    <t>11401-11901 3773-3823 1243-1393 0-150</t>
  </si>
  <si>
    <t>0902120081</t>
  </si>
  <si>
    <t>OG_850</t>
  </si>
  <si>
    <t>CTLC #23-3</t>
  </si>
  <si>
    <t>DIL BHCS CNL CALIP</t>
  </si>
  <si>
    <t>3S22 44S 26E</t>
  </si>
  <si>
    <t>26° 37' 52.91894" N</t>
  </si>
  <si>
    <t>81° 41' 58.67278" W</t>
  </si>
  <si>
    <t>1119'FSL&amp;1634'FEL of Sec. 22</t>
  </si>
  <si>
    <t>1332FWL&amp;1327FSL Sec23</t>
  </si>
  <si>
    <t>13-3/8"@ 1550'</t>
  </si>
  <si>
    <t>7" @ 11984'</t>
  </si>
  <si>
    <t>4-1/2" @ 12464'</t>
  </si>
  <si>
    <t>12306-12440</t>
  </si>
  <si>
    <t>328 BOPD</t>
  </si>
  <si>
    <t>198 BSWPD</t>
  </si>
  <si>
    <t>12373-12385</t>
  </si>
  <si>
    <t>10856-12415 3065-3305 1770-1867 1394-1640 509-909 0-200</t>
  </si>
  <si>
    <t>0907120066</t>
  </si>
  <si>
    <t>OG_851</t>
  </si>
  <si>
    <t>TOTAL LEONARD INC</t>
  </si>
  <si>
    <t>FLORIDA FARMS DEVELOPMENT &amp; CO LTD #35-1</t>
  </si>
  <si>
    <t>1S35 46S 26E</t>
  </si>
  <si>
    <t>26° 25' 57.87444" N</t>
  </si>
  <si>
    <t>81° 40' 45.3" W</t>
  </si>
  <si>
    <t>1037'FNL&amp;1098'FEL</t>
  </si>
  <si>
    <t>30"@ 156'</t>
  </si>
  <si>
    <t>13-3/8"@ 1310'</t>
  </si>
  <si>
    <t>11666-11927</t>
  </si>
  <si>
    <t>11527-11927 3500-3700 1210-1410 0-50</t>
  </si>
  <si>
    <t>0907120067</t>
  </si>
  <si>
    <t>OG_852</t>
  </si>
  <si>
    <t>ALICO INC #5-2</t>
  </si>
  <si>
    <t>2S5 46S 28E</t>
  </si>
  <si>
    <t>26° 30' 36.66916" N</t>
  </si>
  <si>
    <t>81° 32' 33.56519" W</t>
  </si>
  <si>
    <t>1050'FNL&amp;1550'FWL</t>
  </si>
  <si>
    <t>13-3/8"@ 1302'</t>
  </si>
  <si>
    <t>9536-11697</t>
  </si>
  <si>
    <t>11350-11650 3500-3700 1200-1400 4-50</t>
  </si>
  <si>
    <t>0902120082</t>
  </si>
  <si>
    <t>OG_853</t>
  </si>
  <si>
    <t>BERNICE D PEPPER #28-4</t>
  </si>
  <si>
    <t>4S28 46S 28E</t>
  </si>
  <si>
    <t>26° 26' 36.04507" N</t>
  </si>
  <si>
    <t>81° 31' 1.99875" W</t>
  </si>
  <si>
    <t>1320'FSL&amp;1030'FEL</t>
  </si>
  <si>
    <t>9-5/8"@ 3907'</t>
  </si>
  <si>
    <t>11555-11815</t>
  </si>
  <si>
    <t>11400-11814 3870-4114 1240-1484 0-70</t>
  </si>
  <si>
    <t>0902120083</t>
  </si>
  <si>
    <t>OG_854</t>
  </si>
  <si>
    <t>MASTERPIECE GARDENS #21-2</t>
  </si>
  <si>
    <t>2S21 29S 28E</t>
  </si>
  <si>
    <t>27° 57' 0.53586" N</t>
  </si>
  <si>
    <t>81° 31' 32.22646" W</t>
  </si>
  <si>
    <t>1460'FNL&amp;1194'FWL</t>
  </si>
  <si>
    <t>20"@ 125'</t>
  </si>
  <si>
    <t>13-3/8"@ 559'</t>
  </si>
  <si>
    <t>9-5/8"@ 2081'</t>
  </si>
  <si>
    <t>2070-1870 0-50</t>
  </si>
  <si>
    <t>0910520003</t>
  </si>
  <si>
    <t>OG_855</t>
  </si>
  <si>
    <t>TESORO LL&amp;EC &amp; DALCO</t>
  </si>
  <si>
    <t>SRPC #9-3</t>
  </si>
  <si>
    <t>3S9 3N 28W</t>
  </si>
  <si>
    <t>30° 46' 53.58389" N</t>
  </si>
  <si>
    <t>87° 3' 19.03543" W</t>
  </si>
  <si>
    <t>1400'FSL&amp;1120'FWL</t>
  </si>
  <si>
    <t>18"@ 80</t>
  </si>
  <si>
    <t>10-3/4"@ 3883'</t>
  </si>
  <si>
    <t>15704-16728 3764-4064 0-25</t>
  </si>
  <si>
    <t>0911320148</t>
  </si>
  <si>
    <t>OG_856</t>
  </si>
  <si>
    <t>DIL BHCS TRACER</t>
  </si>
  <si>
    <t>26° 15' 32.3316" N</t>
  </si>
  <si>
    <t>81° 18' 11.0484" W</t>
  </si>
  <si>
    <t>2263'FSL&amp;738'FEL</t>
  </si>
  <si>
    <t>9-5/8"@ 278'</t>
  </si>
  <si>
    <t>7"@ 1998'</t>
  </si>
  <si>
    <t>2-7/8"@ 1798'</t>
  </si>
  <si>
    <t>0902120084</t>
  </si>
  <si>
    <t>EPA Permit # FLI 0024/FLS0210013</t>
  </si>
  <si>
    <t>OG_857</t>
  </si>
  <si>
    <t>26° 38' 30.0629" N</t>
  </si>
  <si>
    <t>81° 41' 39.31864" W</t>
  </si>
  <si>
    <t>317'FNL&amp;250'FWL</t>
  </si>
  <si>
    <t>1328.4'FNL&amp;1330.2'FWL</t>
  </si>
  <si>
    <t>0907120068</t>
  </si>
  <si>
    <t>This is P#770 wellbore</t>
  </si>
  <si>
    <t>OG_858</t>
  </si>
  <si>
    <t>LEHIGH-CTLC #23-4</t>
  </si>
  <si>
    <t>DIL BHCS CAL</t>
  </si>
  <si>
    <t>4S23 44S 26E</t>
  </si>
  <si>
    <t>26° 37' 43.68015" N</t>
  </si>
  <si>
    <t>81° 40' 46.00911" W</t>
  </si>
  <si>
    <t>283'FSL&amp;261'FEL</t>
  </si>
  <si>
    <t>1365'FSL &amp; 1332'FEL</t>
  </si>
  <si>
    <t>13-3/8"@ 1508'</t>
  </si>
  <si>
    <t>7" @ 11834'</t>
  </si>
  <si>
    <t>2-7/8"@ 10000'</t>
  </si>
  <si>
    <t>11711'-11814'</t>
  </si>
  <si>
    <t>147 BOPD</t>
  </si>
  <si>
    <t>285 BWPD</t>
  </si>
  <si>
    <t>11753'-11764'</t>
  </si>
  <si>
    <t>11569-11793 3228-3551 1650-1930 1266-1550 680-1080 0-200</t>
  </si>
  <si>
    <t>0907120069</t>
  </si>
  <si>
    <t>OG_859</t>
  </si>
  <si>
    <t>LEHIGH-CTLC #26-1</t>
  </si>
  <si>
    <t>1S23 44S 26E</t>
  </si>
  <si>
    <t>283'FSL&amp;261'FEL of Sec. 23</t>
  </si>
  <si>
    <t>1337'FEL&amp;1303'FNL Sec 26</t>
  </si>
  <si>
    <t>11680-11763</t>
  </si>
  <si>
    <t xml:space="preserve">10785-11785 6442-7042 </t>
  </si>
  <si>
    <t>0907120070</t>
  </si>
  <si>
    <t>P# 858 Kicked off from this well</t>
  </si>
  <si>
    <t>OG_860</t>
  </si>
  <si>
    <t>ROY E LEWIS #16-2</t>
  </si>
  <si>
    <t>2S16 3N 28W</t>
  </si>
  <si>
    <t>30° 46' 24.52901" N</t>
  </si>
  <si>
    <t>87° 3' 14.018" W</t>
  </si>
  <si>
    <t>1525'FNL&amp;1600'FWL</t>
  </si>
  <si>
    <t>0911320149</t>
  </si>
  <si>
    <t>OG_861</t>
  </si>
  <si>
    <t>J F LEE #8-4</t>
  </si>
  <si>
    <t>4S8 3N 28W</t>
  </si>
  <si>
    <t>30° 46' 52.93751" N</t>
  </si>
  <si>
    <t>87° 3' 42.4364" W</t>
  </si>
  <si>
    <t>1320'FSL&amp;920'FEL</t>
  </si>
  <si>
    <t>0911320150</t>
  </si>
  <si>
    <t>OG_862</t>
  </si>
  <si>
    <t>ANDREW B JACKSON #6-2</t>
  </si>
  <si>
    <t>2S6 39S 30E</t>
  </si>
  <si>
    <t>27° 6' 59.90984" N</t>
  </si>
  <si>
    <t>81° 21' 41.3019" W</t>
  </si>
  <si>
    <t>1327'FNL&amp;1323' FWL</t>
  </si>
  <si>
    <t>20" @ 325'</t>
  </si>
  <si>
    <t>9-5/8" @ 3770'</t>
  </si>
  <si>
    <t>9001-11532</t>
  </si>
  <si>
    <t>9445-9200,3698,1390,160-6</t>
  </si>
  <si>
    <t>0905520002</t>
  </si>
  <si>
    <t>OG_863</t>
  </si>
  <si>
    <t>DALLAS EXPLORATION INC</t>
  </si>
  <si>
    <t>MCRAE ETAL #36-2</t>
  </si>
  <si>
    <t>2S36 4N 29W</t>
  </si>
  <si>
    <t>30° 49' 6.21674" N</t>
  </si>
  <si>
    <t>87° 6' 17.80397" W</t>
  </si>
  <si>
    <t>1037'FNL&amp;1125'FWL</t>
  </si>
  <si>
    <t>16"@ 80</t>
  </si>
  <si>
    <t>9-5/8"@ 3889'</t>
  </si>
  <si>
    <t>16142-16178 CHIPS</t>
  </si>
  <si>
    <t>15600-16600 3445-3990 6-144</t>
  </si>
  <si>
    <t>0911320151</t>
  </si>
  <si>
    <t>OG_864</t>
  </si>
  <si>
    <t>COQUINA OIL CORP</t>
  </si>
  <si>
    <t>COLLIER TRUST #19-3</t>
  </si>
  <si>
    <t>3S19 47S 31E</t>
  </si>
  <si>
    <t>26° 22' 20.09755" N</t>
  </si>
  <si>
    <t>81° 15' 55.53252" W</t>
  </si>
  <si>
    <t>1020'FSL&amp;1520'FWL</t>
  </si>
  <si>
    <t>20"@210'</t>
  </si>
  <si>
    <t>13-3/8"@1642</t>
  </si>
  <si>
    <t>9-5/8"@ 3716'</t>
  </si>
  <si>
    <t>11579-11680 CHIPS</t>
  </si>
  <si>
    <t>11079-11864 3563-3787 1399-1745 0-60</t>
  </si>
  <si>
    <t>0905120069</t>
  </si>
  <si>
    <t>OG_865</t>
  </si>
  <si>
    <t>BAXTER ISLAND</t>
  </si>
  <si>
    <t>DSC</t>
  </si>
  <si>
    <t>GERRY BROTHERS LTD #31-3</t>
  </si>
  <si>
    <t>3S31 49S 32E</t>
  </si>
  <si>
    <t>26° 10' 15.58258" N</t>
  </si>
  <si>
    <t>81° 10' 3.63058" W</t>
  </si>
  <si>
    <t>13-3/8 @ 1,405'</t>
  </si>
  <si>
    <t>9-5/8"@ 3717'</t>
  </si>
  <si>
    <t>5-1/2"@11816'</t>
  </si>
  <si>
    <t>11358-11736 CHIPS</t>
  </si>
  <si>
    <t>11492-11543</t>
  </si>
  <si>
    <t>35 BOPD</t>
  </si>
  <si>
    <t>220 BSWPD</t>
  </si>
  <si>
    <t>11512-11515</t>
  </si>
  <si>
    <t>11335-11670 6648-6848 3500-3700 1202-1402 0-150</t>
  </si>
  <si>
    <t>0902120085</t>
  </si>
  <si>
    <t>Baxter Island Field discovery well</t>
  </si>
  <si>
    <t>OG_866</t>
  </si>
  <si>
    <t>TESORO PETROLEUM CORP</t>
  </si>
  <si>
    <t>GERRY BROTHERS #3-2</t>
  </si>
  <si>
    <t>2S3 49S 31E</t>
  </si>
  <si>
    <t>26° 15' 2.01429" N</t>
  </si>
  <si>
    <t>81° 12' 58.3799" W</t>
  </si>
  <si>
    <t>0902120086</t>
  </si>
  <si>
    <t>OG_867</t>
  </si>
  <si>
    <t>GERRY BROTHERS #4-4</t>
  </si>
  <si>
    <t>4S4 49S 31E</t>
  </si>
  <si>
    <t>26° 14' 34.60138" N</t>
  </si>
  <si>
    <t>81° 13' 27.61265" W</t>
  </si>
  <si>
    <t>0902120087</t>
  </si>
  <si>
    <t>OG_868</t>
  </si>
  <si>
    <t>GCRC #32-4</t>
  </si>
  <si>
    <t>4S32 48S 30E</t>
  </si>
  <si>
    <t>26° 15' 20.64055" N</t>
  </si>
  <si>
    <t>81° 20' 15.8769" W</t>
  </si>
  <si>
    <t>13-3/8"@1696</t>
  </si>
  <si>
    <t>9-5/8 @ 4,018'</t>
  </si>
  <si>
    <t>11475-11668</t>
  </si>
  <si>
    <t>11418-11668 3918-4118 1596-1796 4-154</t>
  </si>
  <si>
    <t>0902120088</t>
  </si>
  <si>
    <t>OG_869</t>
  </si>
  <si>
    <t>GERRY BROTHERS #3-3</t>
  </si>
  <si>
    <t>3S3 49S 31E</t>
  </si>
  <si>
    <t>26° 14' 35.53386" N</t>
  </si>
  <si>
    <t>81° 12' 56.3368" W</t>
  </si>
  <si>
    <t>1392'FSL&amp;1507'FWL</t>
  </si>
  <si>
    <t>0902120089</t>
  </si>
  <si>
    <t>OG_870</t>
  </si>
  <si>
    <t>GERRY BROTHERS #9-1</t>
  </si>
  <si>
    <t>1S9 49S 31E</t>
  </si>
  <si>
    <t>26° 14' 9.82572" N</t>
  </si>
  <si>
    <t>81° 13' 31.89927" W</t>
  </si>
  <si>
    <t xml:space="preserve">1183'FNL&amp;1696'FEL </t>
  </si>
  <si>
    <t>0902120090</t>
  </si>
  <si>
    <t>OG_871</t>
  </si>
  <si>
    <t>RAYMOND P OGLESBY #4-5</t>
  </si>
  <si>
    <t>4S4 50S 31E</t>
  </si>
  <si>
    <t>26° 8' 45.79275" N</t>
  </si>
  <si>
    <t>81° 13' 21.41674" W</t>
  </si>
  <si>
    <t>1665'FSL&amp;1039'FEL</t>
  </si>
  <si>
    <t>20"@235'</t>
  </si>
  <si>
    <t>13-3/8"@1502</t>
  </si>
  <si>
    <t>9-5/8 @ 4,045'</t>
  </si>
  <si>
    <t>11592-11850</t>
  </si>
  <si>
    <t>10920-11920 3700-4145 1312-1437? 4-175</t>
  </si>
  <si>
    <t>0902120091</t>
  </si>
  <si>
    <t>OG_872</t>
  </si>
  <si>
    <t>OLEUM CORP ETAL #6-2</t>
  </si>
  <si>
    <t>2S6 50S 32E</t>
  </si>
  <si>
    <t>26° 9' 49.66114" N</t>
  </si>
  <si>
    <t>81° 10' 1.73996" W</t>
  </si>
  <si>
    <t>1320'FNL&amp;607'FWL</t>
  </si>
  <si>
    <t>0902120092</t>
  </si>
  <si>
    <t>P#1065 later drilled from same location</t>
  </si>
  <si>
    <t>OG_873</t>
  </si>
  <si>
    <t>OLEUM CORP ETAL #17-4</t>
  </si>
  <si>
    <t>4S17 52S 34E</t>
  </si>
  <si>
    <t>25° 56' 27.9564" N</t>
  </si>
  <si>
    <t>80° 56' 37.248" W</t>
  </si>
  <si>
    <t>1626'FSL&amp;1577'FEL</t>
  </si>
  <si>
    <t>20"@250'</t>
  </si>
  <si>
    <t>13-3/8"@1537</t>
  </si>
  <si>
    <t>9-5/8 @ 4,190'</t>
  </si>
  <si>
    <t>10987-11705 3870-4120 1374-1628 0-100</t>
  </si>
  <si>
    <t>0902120093</t>
  </si>
  <si>
    <t>OG_874</t>
  </si>
  <si>
    <t>MILTON J BERNOS JR</t>
  </si>
  <si>
    <t>OLEN L MILLER #1</t>
  </si>
  <si>
    <t>4S20 1S 18W</t>
  </si>
  <si>
    <t>30° 28' 38.49712" N</t>
  </si>
  <si>
    <t>86° 3' 37.47897" W</t>
  </si>
  <si>
    <t>2121'FSL&amp;801'FEL</t>
  </si>
  <si>
    <t>18-5/8"@ 100'</t>
  </si>
  <si>
    <t>8-5/8"@ 1554.9'</t>
  </si>
  <si>
    <t>1490-1715 4-25</t>
  </si>
  <si>
    <t>0913120008</t>
  </si>
  <si>
    <t>OG_875</t>
  </si>
  <si>
    <t>HARRY A HOLTOM</t>
  </si>
  <si>
    <t>1S14 26S 17E</t>
  </si>
  <si>
    <t>28° 13' 41.96616" N</t>
  </si>
  <si>
    <t>82° 34' 21.87082" W</t>
  </si>
  <si>
    <t>1035'FNL&amp;1618'FEL</t>
  </si>
  <si>
    <t>20"@ 412'</t>
  </si>
  <si>
    <t>13-3/8"@ 1164'</t>
  </si>
  <si>
    <t>9-5/8"@ 2823'</t>
  </si>
  <si>
    <t>6365-6397</t>
  </si>
  <si>
    <t>2860-2660,1195-995,100-0</t>
  </si>
  <si>
    <t>0910120006</t>
  </si>
  <si>
    <t>OG_876</t>
  </si>
  <si>
    <t>BARRON-COLLIER JR ETAL #7-2</t>
  </si>
  <si>
    <t>2S7 46S 29E</t>
  </si>
  <si>
    <t>26° 29' 38.58529" N</t>
  </si>
  <si>
    <t>81° 27' 47.81642" W</t>
  </si>
  <si>
    <t>1769'FNL&amp;931'FWL</t>
  </si>
  <si>
    <t>11485-11558 CHIPS</t>
  </si>
  <si>
    <t>11286-11586 3420-3720 1166-1477 5-55</t>
  </si>
  <si>
    <t>0902120094</t>
  </si>
  <si>
    <t>OG_877</t>
  </si>
  <si>
    <t>OLEUM CORP #14-4</t>
  </si>
  <si>
    <t>4S14 48S 32E</t>
  </si>
  <si>
    <t>26° 18' 11.80915" N</t>
  </si>
  <si>
    <t>81° 5' 43.3342" W</t>
  </si>
  <si>
    <t>0905120070</t>
  </si>
  <si>
    <t>OG_878</t>
  </si>
  <si>
    <t>SEMINOLE TRIBE #23-1</t>
  </si>
  <si>
    <t>1S23 48S 32E</t>
  </si>
  <si>
    <t>26° 17' 45.73457" N</t>
  </si>
  <si>
    <t>81° 5' 46.49868" W</t>
  </si>
  <si>
    <t>1420'FNL&amp;1620'FEL</t>
  </si>
  <si>
    <t>0905120071</t>
  </si>
  <si>
    <t>OG_879</t>
  </si>
  <si>
    <t>SEMINOLE TRIBE #24-2</t>
  </si>
  <si>
    <t>2S24 48S 32E</t>
  </si>
  <si>
    <t>26° 17' 48.12072" N</t>
  </si>
  <si>
    <t>81° 5' 15.83113" W</t>
  </si>
  <si>
    <t>1120'FNL&amp;1170'FWL</t>
  </si>
  <si>
    <t>0905120072</t>
  </si>
  <si>
    <t>OG_880</t>
  </si>
  <si>
    <t>COLLIER CO #5-5</t>
  </si>
  <si>
    <t>1S5 49S 30E</t>
  </si>
  <si>
    <t>26° 14' 53.79162" N</t>
  </si>
  <si>
    <t>81° 20' 10.15732" W</t>
  </si>
  <si>
    <t>1423'FNL&amp;1019'FEL</t>
  </si>
  <si>
    <t>0902120095</t>
  </si>
  <si>
    <t>OG_881</t>
  </si>
  <si>
    <t>SWEETWATER CREEK</t>
  </si>
  <si>
    <t>HOUSTON OIL &amp; MINERALS CORP</t>
  </si>
  <si>
    <t>W M STOKES #15-2</t>
  </si>
  <si>
    <t>DIL BHCS CNLDN CL DIP</t>
  </si>
  <si>
    <t>2S15 5N 26W</t>
  </si>
  <si>
    <t>30° 56' 26.41553" N</t>
  </si>
  <si>
    <t>86° 50' 0.73568" W</t>
  </si>
  <si>
    <t>1250'FNL&amp;1000'FWL</t>
  </si>
  <si>
    <t>10-3/4"@ 2936'</t>
  </si>
  <si>
    <t>7"@ 14611'</t>
  </si>
  <si>
    <t>2-7/8"@ 14236'</t>
  </si>
  <si>
    <t>14303-14361 CHIPS</t>
  </si>
  <si>
    <t>624 BOPD</t>
  </si>
  <si>
    <t>180 MCFPD</t>
  </si>
  <si>
    <t>0 BSWPD</t>
  </si>
  <si>
    <t>14299-14340</t>
  </si>
  <si>
    <t>13760-14566 2350-3402 1350-1750 5-114</t>
  </si>
  <si>
    <t>0911320152</t>
  </si>
  <si>
    <t>Sweetwater Creek Field discovery well</t>
  </si>
  <si>
    <t>OG_882</t>
  </si>
  <si>
    <t>DOUGLAS POLK ETAL #41-1</t>
  </si>
  <si>
    <t>DIL BHCS CNLDN FT CL</t>
  </si>
  <si>
    <t>30° 57' 6.80677" N</t>
  </si>
  <si>
    <t>87° 8' 31.1212" W</t>
  </si>
  <si>
    <t>300'FNL&amp;1000'FEL</t>
  </si>
  <si>
    <t>9-5/8"@ 3805</t>
  </si>
  <si>
    <t>7"@ 15836'</t>
  </si>
  <si>
    <t>3-1/2" @ 15329'</t>
  </si>
  <si>
    <t>15480-15839 CHIPS</t>
  </si>
  <si>
    <t>15502-15748</t>
  </si>
  <si>
    <t>14814-15014</t>
  </si>
  <si>
    <t>0911320154</t>
  </si>
  <si>
    <t>EPA ID # FLS1130039</t>
  </si>
  <si>
    <t>882AH</t>
  </si>
  <si>
    <t>DOUGLAS POLK ETAL #41-1AH</t>
  </si>
  <si>
    <t xml:space="preserve">GR LITH DIR </t>
  </si>
  <si>
    <t>1768'N&amp;3620'W of SHL</t>
  </si>
  <si>
    <t>563 BOPD</t>
  </si>
  <si>
    <t>1070 MCFPD</t>
  </si>
  <si>
    <t>41 BSWPD</t>
  </si>
  <si>
    <t>HZ Liner 15972-18876 MD</t>
  </si>
  <si>
    <t>0911320154-01</t>
  </si>
  <si>
    <t>EPA ID # FLS1130079/FLI 0051</t>
  </si>
  <si>
    <t>OG_883</t>
  </si>
  <si>
    <t>MCDAVID LANDS #7-5</t>
  </si>
  <si>
    <t>2S1 5N 30W</t>
  </si>
  <si>
    <t>30° 58' 50.39679" N</t>
  </si>
  <si>
    <t>87° 11' 28.3719" W</t>
  </si>
  <si>
    <t>637'FNL&amp;613'FEL of Sec 1</t>
  </si>
  <si>
    <t>1300FNL&amp;500FWL</t>
  </si>
  <si>
    <t>16" @ 106</t>
  </si>
  <si>
    <t>7"@ 15802'</t>
  </si>
  <si>
    <t>3-1/2" @ 15335'</t>
  </si>
  <si>
    <t>15475-15840 CHIPS</t>
  </si>
  <si>
    <t>5944 BOPD</t>
  </si>
  <si>
    <t>7453 MCFPD</t>
  </si>
  <si>
    <t>15602-15640</t>
  </si>
  <si>
    <t>10-120 1220-1795 3104-3723 5941-6380 13101-13600 13710-15666</t>
  </si>
  <si>
    <t>0903320028</t>
  </si>
  <si>
    <t>OG_884</t>
  </si>
  <si>
    <t>MCDAVID LANDS #31-2</t>
  </si>
  <si>
    <t>30° 59' 43.50762" N</t>
  </si>
  <si>
    <t>87° 10' 41.90387" W</t>
  </si>
  <si>
    <t>688'FNL&amp;966'FWL</t>
  </si>
  <si>
    <t>2000'FNL&amp;1800'FWL</t>
  </si>
  <si>
    <t>20" @ 103'</t>
  </si>
  <si>
    <t>10-3/4"@ 3560'</t>
  </si>
  <si>
    <t>7-5/8" @15798'</t>
  </si>
  <si>
    <t>4-1/2" @ 15275'</t>
  </si>
  <si>
    <t>15409-15801</t>
  </si>
  <si>
    <t>5270 BOPD</t>
  </si>
  <si>
    <t>6727 MCFPD</t>
  </si>
  <si>
    <t>15550-15715</t>
  </si>
  <si>
    <t>14130-14230</t>
  </si>
  <si>
    <t>0903320029</t>
  </si>
  <si>
    <t>884A</t>
  </si>
  <si>
    <t>MCDAVID LANDS #31-2A</t>
  </si>
  <si>
    <t>4S31 6N 29W</t>
  </si>
  <si>
    <t>1669.3'FWL &amp; 2187.6'FNL</t>
  </si>
  <si>
    <t>5-1/2"@15798'</t>
  </si>
  <si>
    <t>4-1/2" @ 15273'</t>
  </si>
  <si>
    <t>5786 BOPD</t>
  </si>
  <si>
    <t>8908 MCFPD</t>
  </si>
  <si>
    <t>15547-15723</t>
  </si>
  <si>
    <t>0903320029-01</t>
  </si>
  <si>
    <t>OG_885</t>
  </si>
  <si>
    <t>OLEUM CORP #36-1</t>
  </si>
  <si>
    <t>1S36 50S 31E</t>
  </si>
  <si>
    <t>26° 4' 39.29933" N</t>
  </si>
  <si>
    <t>81° 10' 8.37929" W</t>
  </si>
  <si>
    <t>1500'FNL&amp;1120'FEL</t>
  </si>
  <si>
    <t>13-3/8 @ 1,509'</t>
  </si>
  <si>
    <t>9-5/8 @ 4,028'</t>
  </si>
  <si>
    <t>11333-11900 3671-4105 1325-1560 0-100</t>
  </si>
  <si>
    <t>0902120096</t>
  </si>
  <si>
    <t>OG_886</t>
  </si>
  <si>
    <t>SRPC #13-W</t>
  </si>
  <si>
    <t>30° 51' 30.70069" N</t>
  </si>
  <si>
    <t>87° 6' 19.99168" W</t>
  </si>
  <si>
    <t xml:space="preserve">2258'FNL&amp;592'FWL </t>
  </si>
  <si>
    <t>2900FNL&amp;40FWL</t>
  </si>
  <si>
    <t>20" @ 128'</t>
  </si>
  <si>
    <t>10-3/4"@3914'</t>
  </si>
  <si>
    <t>7-5/8" @ 16100'</t>
  </si>
  <si>
    <t>4-1/2" @ 15711'</t>
  </si>
  <si>
    <t>15860-16040</t>
  </si>
  <si>
    <t>117 BOPD</t>
  </si>
  <si>
    <t>339 MCFPD</t>
  </si>
  <si>
    <t>840 BSWPD</t>
  </si>
  <si>
    <t>15868-15984</t>
  </si>
  <si>
    <t>0-100, 1140-1646, 2819-3192, 3620-4218, 5772-6510, 9877-10922</t>
  </si>
  <si>
    <t>0911320153</t>
  </si>
  <si>
    <t>OG_887</t>
  </si>
  <si>
    <t>COLLIER CO #13-2</t>
  </si>
  <si>
    <t>2S13 49S 30E</t>
  </si>
  <si>
    <t>26° 12' 40.6134" N</t>
  </si>
  <si>
    <t>81° 16' 45.25046" W</t>
  </si>
  <si>
    <t xml:space="preserve">741'FNL&amp;1302'FWL </t>
  </si>
  <si>
    <t>0902120097</t>
  </si>
  <si>
    <t>OG_888</t>
  </si>
  <si>
    <t>COLLIER CO #14-1</t>
  </si>
  <si>
    <t>1S14 49S 30E</t>
  </si>
  <si>
    <t>26° 12' 38.187" N</t>
  </si>
  <si>
    <t>81° 17' 7.33337" W</t>
  </si>
  <si>
    <t>985'FNL&amp;701'FEL</t>
  </si>
  <si>
    <t>0902120098</t>
  </si>
  <si>
    <t>OG_889</t>
  </si>
  <si>
    <t>H HANNA #9-3</t>
  </si>
  <si>
    <t>3S9 5N 26W</t>
  </si>
  <si>
    <t>30° 56' 52.49155" N</t>
  </si>
  <si>
    <t>86° 50' 56.25838" W</t>
  </si>
  <si>
    <t>1106'FSL&amp;1408'FWL</t>
  </si>
  <si>
    <t>0911320155</t>
  </si>
  <si>
    <t>OG_890</t>
  </si>
  <si>
    <t>USA-STATE FOREST #15-3</t>
  </si>
  <si>
    <t>3S15 5N 26W</t>
  </si>
  <si>
    <t>30° 56' 3.99236" N</t>
  </si>
  <si>
    <t>86° 50' 1.41655" W</t>
  </si>
  <si>
    <t>1120'FSL&amp;1000'FWL</t>
  </si>
  <si>
    <t>10-3/4"@3700'</t>
  </si>
  <si>
    <t>14220-14426 CHIPS</t>
  </si>
  <si>
    <t>14100-14600 3518-3845 0-54</t>
  </si>
  <si>
    <t>0911320156</t>
  </si>
  <si>
    <t>OG_891</t>
  </si>
  <si>
    <t>USA-STATE FOREST #14-3</t>
  </si>
  <si>
    <t>3S14 5N 26W</t>
  </si>
  <si>
    <t>30° 55' 59.75972" N</t>
  </si>
  <si>
    <t>86° 48' 54.60203" W</t>
  </si>
  <si>
    <t>1120'FSL&amp;1520'FWL</t>
  </si>
  <si>
    <t>0911320157</t>
  </si>
  <si>
    <t>OG_892</t>
  </si>
  <si>
    <t>LEHIGH CORP #12-3</t>
  </si>
  <si>
    <t>26° 34' 11.26326" N</t>
  </si>
  <si>
    <t>81° 34' 46.20871" W</t>
  </si>
  <si>
    <t>400'FNL&amp;420'FWL OF Sec 13</t>
  </si>
  <si>
    <t>660FSL&amp;660FWL Sec 12</t>
  </si>
  <si>
    <t>20"@255'</t>
  </si>
  <si>
    <t>9-5/8"@ 3598</t>
  </si>
  <si>
    <t>11689-11817</t>
  </si>
  <si>
    <t>10820-11820 3598(100Sks Cmt)</t>
  </si>
  <si>
    <t>0907120071</t>
  </si>
  <si>
    <t>P# 969 KICKED OFF FROM THIS WELLBORE</t>
  </si>
  <si>
    <t>OG_893</t>
  </si>
  <si>
    <t>OLEUM CORP #14-1</t>
  </si>
  <si>
    <t>1S14 48S 32E</t>
  </si>
  <si>
    <t>26° 18' 41.37581" N</t>
  </si>
  <si>
    <t>81° 5' 47.51779" W</t>
  </si>
  <si>
    <t>1034'FNL&amp;1589'FEL</t>
  </si>
  <si>
    <t>0905120073</t>
  </si>
  <si>
    <t>OG_894</t>
  </si>
  <si>
    <t>SEMINOLE TRIBE #24-3</t>
  </si>
  <si>
    <t>3S24 48S 32E</t>
  </si>
  <si>
    <t>26° 17' 22.20428" N</t>
  </si>
  <si>
    <t>81° 5' 10.50904" W</t>
  </si>
  <si>
    <t>1532'FSL&amp;1560'FWL</t>
  </si>
  <si>
    <t>0905120074</t>
  </si>
  <si>
    <t>OG_895</t>
  </si>
  <si>
    <t>OLEUM CORP #26-3</t>
  </si>
  <si>
    <t>26° 26' 42.10429" N</t>
  </si>
  <si>
    <t>1320'FSL&amp;919'FWL</t>
  </si>
  <si>
    <t>0902120099</t>
  </si>
  <si>
    <t>OG_896</t>
  </si>
  <si>
    <t>COLLIER CO #14-4</t>
  </si>
  <si>
    <t>4S14 49S 30E</t>
  </si>
  <si>
    <t>26° 12' 10.58209" N</t>
  </si>
  <si>
    <t>81° 17' 13.13318" W</t>
  </si>
  <si>
    <t>1322'FSL&amp;1283'FEL</t>
  </si>
  <si>
    <t>0902120100</t>
  </si>
  <si>
    <t>OG_897</t>
  </si>
  <si>
    <t>PEPPER HAMMOCK</t>
  </si>
  <si>
    <t>COLLIER CO #23-1</t>
  </si>
  <si>
    <t>DIL BHCS CNLDN FT</t>
  </si>
  <si>
    <t>1S23 49S 30E</t>
  </si>
  <si>
    <t>26° 11' 44.70943" N</t>
  </si>
  <si>
    <t>81° 17' 11.91109" W</t>
  </si>
  <si>
    <t>1325'FNL&amp;1284'FEL</t>
  </si>
  <si>
    <t>20"@ 248</t>
  </si>
  <si>
    <t>13-3/8"@1503</t>
  </si>
  <si>
    <t>9-5/8"@ 4112</t>
  </si>
  <si>
    <t>7"@ 11897</t>
  </si>
  <si>
    <t>11484-11897</t>
  </si>
  <si>
    <t>11650-11612</t>
  </si>
  <si>
    <t>20BOPD</t>
  </si>
  <si>
    <t>206BSWPD</t>
  </si>
  <si>
    <t>11629-11633</t>
  </si>
  <si>
    <t>11015-11844 3800-4047 1339-2141 1058-1258 750-850 275-375 4-104</t>
  </si>
  <si>
    <t>0902120101</t>
  </si>
  <si>
    <t>Pepper Hammock Field discovery well</t>
  </si>
  <si>
    <t>OG_898</t>
  </si>
  <si>
    <t>COLLIER CO #23-4</t>
  </si>
  <si>
    <t>4S23 49S 30E</t>
  </si>
  <si>
    <t>26° 11' 5.58013" N</t>
  </si>
  <si>
    <t>81° 16' 58.39889" W</t>
  </si>
  <si>
    <t>14.7'FSL&amp;141'FEL</t>
  </si>
  <si>
    <t>0902120102</t>
  </si>
  <si>
    <t>OG_899</t>
  </si>
  <si>
    <t>COLLIER CO #24-2</t>
  </si>
  <si>
    <t>26° 11' 57.28092" N</t>
  </si>
  <si>
    <t>81° 16' 58.33333" W</t>
  </si>
  <si>
    <t>NW CORNER,SEC24, T49S R30E</t>
  </si>
  <si>
    <t>1325,FNL 1283'FWL</t>
  </si>
  <si>
    <t>20"@259'</t>
  </si>
  <si>
    <t>9-5/8 @ 4,099'</t>
  </si>
  <si>
    <t>12246-12288,12679-12726</t>
  </si>
  <si>
    <t>12360-11462,4099-3685,2200-1065,600-1000 0-200</t>
  </si>
  <si>
    <t>0902120103</t>
  </si>
  <si>
    <t>OG_900</t>
  </si>
  <si>
    <t>COLLIER CO #25-2</t>
  </si>
  <si>
    <t>2S25 49S 30E</t>
  </si>
  <si>
    <t>26° 11' 4.69928" N</t>
  </si>
  <si>
    <t>81° 16' 57.74459" W</t>
  </si>
  <si>
    <t>45'FSL&amp;81'FEL of Sec 23</t>
  </si>
  <si>
    <t>0902120104</t>
  </si>
  <si>
    <t>OG_901</t>
  </si>
  <si>
    <t>COLLIER CO #26-1</t>
  </si>
  <si>
    <t>1S26 49S 30E</t>
  </si>
  <si>
    <t>26° 10' 53.98176" N</t>
  </si>
  <si>
    <t>81° 17' 8.91254" W</t>
  </si>
  <si>
    <t>1035'FNL&amp;1104'FEL</t>
  </si>
  <si>
    <t>0902120105</t>
  </si>
  <si>
    <t>OG_902</t>
  </si>
  <si>
    <t>COLLIER CO #34-1</t>
  </si>
  <si>
    <t>1S34 48S 30E</t>
  </si>
  <si>
    <t>26° 15' 48.67421" N</t>
  </si>
  <si>
    <t>81° 18' 17.00569" W</t>
  </si>
  <si>
    <t>1315'FNL&amp;1316'FEL</t>
  </si>
  <si>
    <t>20" 237'</t>
  </si>
  <si>
    <t>13-3/8" 1495'</t>
  </si>
  <si>
    <t>9-5/8" 4105'</t>
  </si>
  <si>
    <t>7" 11616'</t>
  </si>
  <si>
    <t>2-7/8" 6500'</t>
  </si>
  <si>
    <t>11570-11615</t>
  </si>
  <si>
    <t>128 BSWPD</t>
  </si>
  <si>
    <t>11593-11615</t>
  </si>
  <si>
    <t>11292-11615 3820-4055 962-2044 510-710 0-200</t>
  </si>
  <si>
    <t>0902120106</t>
  </si>
  <si>
    <t>EPA ID# FLS 0210009</t>
  </si>
  <si>
    <t>OG_903</t>
  </si>
  <si>
    <t>SEMINOLE #26-3</t>
  </si>
  <si>
    <t>3S26 48S 34E</t>
  </si>
  <si>
    <t>26° 16' 38.95781" N</t>
  </si>
  <si>
    <t>80° 54' 27.6026" W</t>
  </si>
  <si>
    <t>1519'FSL&amp;1519'FWL</t>
  </si>
  <si>
    <t>20" 280'</t>
  </si>
  <si>
    <t>13-3/8" 1382'</t>
  </si>
  <si>
    <t>9-5/8" 3817'</t>
  </si>
  <si>
    <t>5238-11551 CHIPS</t>
  </si>
  <si>
    <t>11300-11638 9500-9700 3717-3917 2520-2720 1282-1482 4-154</t>
  </si>
  <si>
    <t>0905120075</t>
  </si>
  <si>
    <t>OG_904</t>
  </si>
  <si>
    <t>MID-FELDA</t>
  </si>
  <si>
    <t>HENDRY ENERGY SERVICES</t>
  </si>
  <si>
    <t>RED CATTLE CO #27-4</t>
  </si>
  <si>
    <t>DIL CDN ML</t>
  </si>
  <si>
    <t>4S27 45S 28E</t>
  </si>
  <si>
    <t>26° 31' 55.06256" N</t>
  </si>
  <si>
    <t>81° 30' 12.10891" W</t>
  </si>
  <si>
    <t>1282'FSL&amp;1622'FEL</t>
  </si>
  <si>
    <t>20" 267'</t>
  </si>
  <si>
    <t>13-3/8" 1369'</t>
  </si>
  <si>
    <t>9-5/8" 3826'</t>
  </si>
  <si>
    <t>5-1/2" 11686'</t>
  </si>
  <si>
    <t>2-7/8" 11248'</t>
  </si>
  <si>
    <t>11448-11519</t>
  </si>
  <si>
    <t>281 BOPD</t>
  </si>
  <si>
    <t>15 MCFPD</t>
  </si>
  <si>
    <t>54 BSWPD</t>
  </si>
  <si>
    <t>11492-11496</t>
  </si>
  <si>
    <t>3200-3190 1980-1155 300-0</t>
  </si>
  <si>
    <t>0905120076</t>
  </si>
  <si>
    <t>Mid Felda Field discovery well</t>
  </si>
  <si>
    <t>904AH</t>
  </si>
  <si>
    <t>RED CATTLE CO #27-4AH</t>
  </si>
  <si>
    <t>PENDING</t>
  </si>
  <si>
    <t>26° 31' 55.011" N</t>
  </si>
  <si>
    <t>81° 30' 12.077" W</t>
  </si>
  <si>
    <t>0905120076-01</t>
  </si>
  <si>
    <t>904B</t>
  </si>
  <si>
    <t>RED CATTLE CO #27-4B</t>
  </si>
  <si>
    <t>26° 31' 55.505" N</t>
  </si>
  <si>
    <t>81° 30' 12.078" W</t>
  </si>
  <si>
    <t>1333'FSL &amp; 1621' FEL</t>
  </si>
  <si>
    <t>1655'FSL&amp;2037'FEL</t>
  </si>
  <si>
    <t>24"@201'/20"@282.5'</t>
  </si>
  <si>
    <t>13-3/8"@1892'</t>
  </si>
  <si>
    <t>9-5/8" 3981'</t>
  </si>
  <si>
    <t>11753MD-11178MD 9755MD-9195MD</t>
  </si>
  <si>
    <t>0905120076-02</t>
  </si>
  <si>
    <t>904C</t>
  </si>
  <si>
    <t>RED CATTLE CO #27-4C</t>
  </si>
  <si>
    <t>26° 31' 55.0128" N</t>
  </si>
  <si>
    <t>1490' FSL &amp; 1008' FEL</t>
  </si>
  <si>
    <t>7"@11686'</t>
  </si>
  <si>
    <t>2-7/8"@9400'</t>
  </si>
  <si>
    <t>11582-11588</t>
  </si>
  <si>
    <t>0905120076-03</t>
  </si>
  <si>
    <t>Perfed on 11-24-2019</t>
  </si>
  <si>
    <t>OG_905</t>
  </si>
  <si>
    <t>COLLIER CO #13-3</t>
  </si>
  <si>
    <t>3S13 49S 30E</t>
  </si>
  <si>
    <t>26° 12' 3.81971" N</t>
  </si>
  <si>
    <t>81° 16' 44.41724" W</t>
  </si>
  <si>
    <t>661'FSL&amp;1287'FWL</t>
  </si>
  <si>
    <t>0902120107</t>
  </si>
  <si>
    <t>OG_906</t>
  </si>
  <si>
    <t>COLLIER CO #24-3</t>
  </si>
  <si>
    <t>3S24 49S 30E</t>
  </si>
  <si>
    <t>26° 11' 14.47213" N</t>
  </si>
  <si>
    <t>81° 16' 40.90994" W</t>
  </si>
  <si>
    <t>1036'FSL&amp;1486'FWL</t>
  </si>
  <si>
    <t>0902120108</t>
  </si>
  <si>
    <t>OG_907</t>
  </si>
  <si>
    <t>COLLIER CO #34-2</t>
  </si>
  <si>
    <t>2S34 48S 30E</t>
  </si>
  <si>
    <t>26° 15' 47.50173" N</t>
  </si>
  <si>
    <t>81° 18' 45.46141" W</t>
  </si>
  <si>
    <t>1471'FNL&amp;1469'FWL</t>
  </si>
  <si>
    <t>20" 250'</t>
  </si>
  <si>
    <t>13-3/8" 1504'</t>
  </si>
  <si>
    <t>9-5/8" 4149'</t>
  </si>
  <si>
    <t>7" 11619'</t>
  </si>
  <si>
    <t>2-7/8" 6470'</t>
  </si>
  <si>
    <t>11569-11617</t>
  </si>
  <si>
    <t>78 BOPD</t>
  </si>
  <si>
    <t>546 BSWPD</t>
  </si>
  <si>
    <t>11613-11616</t>
  </si>
  <si>
    <t xml:space="preserve">11118-11612 3863-4060 1269-2206 977-1077 610-752 220-330 0-115 </t>
  </si>
  <si>
    <t>0902120109</t>
  </si>
  <si>
    <t>OG_908</t>
  </si>
  <si>
    <t>SEMINOLE #25-4</t>
  </si>
  <si>
    <t>4S25 48S 34E</t>
  </si>
  <si>
    <t>26° 16' 36.38759" N</t>
  </si>
  <si>
    <t>80° 53' 1.39326" W</t>
  </si>
  <si>
    <t>1113'FSL&amp;1120'FEL</t>
  </si>
  <si>
    <t>0905120077</t>
  </si>
  <si>
    <t>OG_909</t>
  </si>
  <si>
    <t>SEMINOLE #28-1</t>
  </si>
  <si>
    <t>1S28 48S 34E</t>
  </si>
  <si>
    <t>26° 16' 59.56576" N</t>
  </si>
  <si>
    <t>80° 55' 54.9723" W</t>
  </si>
  <si>
    <t>1526'FNL&amp;1119'FEL</t>
  </si>
  <si>
    <t>0905120078</t>
  </si>
  <si>
    <t>OG_910</t>
  </si>
  <si>
    <t>C HIGDON ETAL #19-5</t>
  </si>
  <si>
    <t>DIL BHCS CNLDN FT DIR</t>
  </si>
  <si>
    <t>30° 56' 51.94403" N</t>
  </si>
  <si>
    <t>87° 9' 43.90958" W</t>
  </si>
  <si>
    <t>2000'FNL&amp;2050'FEL</t>
  </si>
  <si>
    <t>20" 100'</t>
  </si>
  <si>
    <t>10-3/4" 3760'</t>
  </si>
  <si>
    <t>7-5/8" 15814'</t>
  </si>
  <si>
    <t>3-1/2" 15337'</t>
  </si>
  <si>
    <t>15530-15800 CHIPS</t>
  </si>
  <si>
    <t>1300 BOPD</t>
  </si>
  <si>
    <t>1560 MCFPD</t>
  </si>
  <si>
    <t>1 BSWPD</t>
  </si>
  <si>
    <t>15660-15740</t>
  </si>
  <si>
    <t>0911320158</t>
  </si>
  <si>
    <t>910AH</t>
  </si>
  <si>
    <t>C HIGDON ETAL #19-5AH</t>
  </si>
  <si>
    <t>Permit expired</t>
  </si>
  <si>
    <t>OG_911</t>
  </si>
  <si>
    <t>PENNZOIL PRODUCING CO</t>
  </si>
  <si>
    <t>FLORIDA BOARD OF FORESTRY #5-2</t>
  </si>
  <si>
    <t>DIL BHCS CNLDN ML DIP COMPUTER PROC LOG</t>
  </si>
  <si>
    <t>2S5 3N 26W</t>
  </si>
  <si>
    <t>30° 47' 54.68966" N</t>
  </si>
  <si>
    <t>86° 52' 13.49834" W</t>
  </si>
  <si>
    <t>24" 40'</t>
  </si>
  <si>
    <t>16" 239'</t>
  </si>
  <si>
    <t>10-3/4" 3561'</t>
  </si>
  <si>
    <t>15245-15435 CHIPS</t>
  </si>
  <si>
    <t>Y15212-15378</t>
  </si>
  <si>
    <t>14920-15720 9700-9800 3420-3700 854-1159 10-35</t>
  </si>
  <si>
    <t>0911320159</t>
  </si>
  <si>
    <t>OG_912</t>
  </si>
  <si>
    <t>COOLEY #25-1</t>
  </si>
  <si>
    <t>DIL BHCS CNLDN LITH</t>
  </si>
  <si>
    <t>1S25 4N 27W</t>
  </si>
  <si>
    <t>30° 49' 39.55522" N</t>
  </si>
  <si>
    <t>86° 53' 35.34035" W</t>
  </si>
  <si>
    <t>1170'FNL&amp;1320'FEL</t>
  </si>
  <si>
    <t>16" 100'</t>
  </si>
  <si>
    <t>10-3/4" 3453'</t>
  </si>
  <si>
    <t>15173-15231 CHIPS</t>
  </si>
  <si>
    <t>14700-15500 3250-3625 680-1040 0-33</t>
  </si>
  <si>
    <t>0911320160</t>
  </si>
  <si>
    <t>OG_913</t>
  </si>
  <si>
    <t>OLEUM CORP #4-1</t>
  </si>
  <si>
    <t>1S33 51S 34E</t>
  </si>
  <si>
    <t>25° 58' 56.47421" N</t>
  </si>
  <si>
    <t>80° 55' 32.2892" W</t>
  </si>
  <si>
    <t>1069'FSL&amp;860'FEL OF Sec 33</t>
  </si>
  <si>
    <t>1320 FNL 1320 FEL OF SEC 4</t>
  </si>
  <si>
    <t>0902120111</t>
  </si>
  <si>
    <t>OG_914</t>
  </si>
  <si>
    <t>USA-STATE FOREST #21-1</t>
  </si>
  <si>
    <t>1S21 5N 26W</t>
  </si>
  <si>
    <t>30° 55' 40.56056" N</t>
  </si>
  <si>
    <t>86° 50' 25.75313" W</t>
  </si>
  <si>
    <t>1100'FNL&amp;1120'FEL</t>
  </si>
  <si>
    <t>0911320161</t>
  </si>
  <si>
    <t>OG_915</t>
  </si>
  <si>
    <t>OLEUM CORP #33-1</t>
  </si>
  <si>
    <t>25° 58' 57.34688" N</t>
  </si>
  <si>
    <t>80° 55' 30.40619" W</t>
  </si>
  <si>
    <t>1069'FSL&amp;1110'FEL</t>
  </si>
  <si>
    <t>2902'N &amp; 500'W of SHL</t>
  </si>
  <si>
    <t>20" @ 257'</t>
  </si>
  <si>
    <t>13-3/8"@ 1553</t>
  </si>
  <si>
    <t>9-5/8" @ 4005'</t>
  </si>
  <si>
    <t>7"@ 12398'</t>
  </si>
  <si>
    <t>4-1/2" @ 12550'</t>
  </si>
  <si>
    <t>12444-12524</t>
  </si>
  <si>
    <t>549 BOPD</t>
  </si>
  <si>
    <t>12474-12492 12502-12506</t>
  </si>
  <si>
    <t>12034-12548 1357-2295 914-1014 700-781 217-436 0-101</t>
  </si>
  <si>
    <t>0902120112</t>
  </si>
  <si>
    <t>OG_916</t>
  </si>
  <si>
    <t>OLEUM CORP #33-3</t>
  </si>
  <si>
    <t>3S33 51S 34E</t>
  </si>
  <si>
    <t>25° 58' 56.42741" N</t>
  </si>
  <si>
    <t>80° 55' 31.85476" W</t>
  </si>
  <si>
    <t>1069'FSL&amp;985'FEL</t>
  </si>
  <si>
    <t>0902120113</t>
  </si>
  <si>
    <t>OG_917</t>
  </si>
  <si>
    <t>UNION TEXAS PETROLEUM</t>
  </si>
  <si>
    <t>T D BAULDREE #1</t>
  </si>
  <si>
    <t>3S2 4N 30W</t>
  </si>
  <si>
    <t>30° 53' 12.28085" N</t>
  </si>
  <si>
    <t>87° 13' 15.75836" W</t>
  </si>
  <si>
    <t>1495'FSL&amp;1495'FWL</t>
  </si>
  <si>
    <t>10-3/4"@3980'</t>
  </si>
  <si>
    <t>16332-16562 CHIPS</t>
  </si>
  <si>
    <t>15750-16750 3780-4180 0-25</t>
  </si>
  <si>
    <t>0911320162</t>
  </si>
  <si>
    <t>OG_918</t>
  </si>
  <si>
    <t>MCDAVID LANDS #1-2</t>
  </si>
  <si>
    <t>3S1 5N 30W</t>
  </si>
  <si>
    <t>30° 58' 52.44627" N</t>
  </si>
  <si>
    <t>87° 11' 30.70607" W</t>
  </si>
  <si>
    <t>503'FNL&amp;847'FEL</t>
  </si>
  <si>
    <t>2114'FNL&amp;1912'FEL</t>
  </si>
  <si>
    <t>10-3/4" 3529'</t>
  </si>
  <si>
    <t>7-5/8" @ 16010'</t>
  </si>
  <si>
    <t>3-1/2" @ 15218'</t>
  </si>
  <si>
    <t>15665-15952</t>
  </si>
  <si>
    <t>8218 BOPD</t>
  </si>
  <si>
    <t>10879 MCFPD</t>
  </si>
  <si>
    <t>15743-15882</t>
  </si>
  <si>
    <t>TOC 10,925'</t>
  </si>
  <si>
    <t>0903320030</t>
  </si>
  <si>
    <t>OG_919</t>
  </si>
  <si>
    <t>R L BURNS CORP</t>
  </si>
  <si>
    <t>CHAPMAN-CTLC #11-1</t>
  </si>
  <si>
    <t>1S11 46S 26E</t>
  </si>
  <si>
    <t>26° 29' 25.86424" N</t>
  </si>
  <si>
    <t>81° 40' 49.49961" W</t>
  </si>
  <si>
    <t>1320'FNL&amp;1423'FEL</t>
  </si>
  <si>
    <t>20" @ 278'</t>
  </si>
  <si>
    <t>13-3/8"@ 1383'</t>
  </si>
  <si>
    <t>9-5/8" @3868'</t>
  </si>
  <si>
    <t>11798-11866</t>
  </si>
  <si>
    <t>11500-11850 3668-4013 1205-1413 0-36</t>
  </si>
  <si>
    <t>0907120072</t>
  </si>
  <si>
    <t>OG_920</t>
  </si>
  <si>
    <t>USA-STATE FOREST #15-1</t>
  </si>
  <si>
    <t>1S15 5N 26W</t>
  </si>
  <si>
    <t>30° 56' 22.91244" N</t>
  </si>
  <si>
    <t>86° 49' 22.58958" W</t>
  </si>
  <si>
    <t>1500'FNL&amp;960'FEL</t>
  </si>
  <si>
    <t>0911320163</t>
  </si>
  <si>
    <t>OG_921</t>
  </si>
  <si>
    <t>USA-STATE FOREST #15-4</t>
  </si>
  <si>
    <t>4S15 5N 26W</t>
  </si>
  <si>
    <t>30° 56' 0.21577" N</t>
  </si>
  <si>
    <t>86° 49' 29.01083" W</t>
  </si>
  <si>
    <t>1100'FSL&amp;1500'FEL</t>
  </si>
  <si>
    <t>0911320164</t>
  </si>
  <si>
    <t>OG_922</t>
  </si>
  <si>
    <t>CDC #29-3</t>
  </si>
  <si>
    <t>3S29 46S 29E</t>
  </si>
  <si>
    <t>26° 26' 34.57543" N</t>
  </si>
  <si>
    <t>81° 26' 48.91999" W</t>
  </si>
  <si>
    <t>1042'FSL&amp;1042'FWL</t>
  </si>
  <si>
    <t>0902120110</t>
  </si>
  <si>
    <t>OG_923</t>
  </si>
  <si>
    <t>MCDAVID LANDS #7-6</t>
  </si>
  <si>
    <t>30° 58' 27.20246" N</t>
  </si>
  <si>
    <t>87° 9' 51.06152" W</t>
  </si>
  <si>
    <t>1500'FSL&amp;307'FEL</t>
  </si>
  <si>
    <t>16"@ 127</t>
  </si>
  <si>
    <t>10-3/4"@ 3632</t>
  </si>
  <si>
    <t>7-5/8"@15619</t>
  </si>
  <si>
    <t>3-1/2"@ 15172</t>
  </si>
  <si>
    <t>15330-15632.5</t>
  </si>
  <si>
    <t>7212 BOPD</t>
  </si>
  <si>
    <t>8075 MCF</t>
  </si>
  <si>
    <t>15318-15524</t>
  </si>
  <si>
    <t>0911320165</t>
  </si>
  <si>
    <t>OG_924</t>
  </si>
  <si>
    <t>EXXON, PETRO ACQUISITIONS, DESOTO</t>
  </si>
  <si>
    <t>DIL BHCS GRN TEMP GAMMA RAY-NEUTRON</t>
  </si>
  <si>
    <t>30° 51' 2.55946" N</t>
  </si>
  <si>
    <t>87° 6' 46.72258" W</t>
  </si>
  <si>
    <t xml:space="preserve">86'FSL&amp;1674'FEL of Sec 14 </t>
  </si>
  <si>
    <t>9-5/8 @ 2259</t>
  </si>
  <si>
    <t>7" @ 6868'</t>
  </si>
  <si>
    <t>4-1/2" @ 6100'</t>
  </si>
  <si>
    <t>6373-6603</t>
  </si>
  <si>
    <t>5869-4959 2377-1967 1812-1412 100-4</t>
  </si>
  <si>
    <t>0911320166</t>
  </si>
  <si>
    <t>EPA ID # FLS1130051/FLI0018</t>
  </si>
  <si>
    <t>OG_925</t>
  </si>
  <si>
    <t>RED CATTLE #27-3</t>
  </si>
  <si>
    <t>DIL CDN ML CBL GR</t>
  </si>
  <si>
    <t>3S27 45S 28E</t>
  </si>
  <si>
    <t>26° 31' 54.2604" N</t>
  </si>
  <si>
    <t>81° 30' 38.9808" W</t>
  </si>
  <si>
    <t>1232'FSL&amp;1221'FWL</t>
  </si>
  <si>
    <t>20"@ 239'</t>
  </si>
  <si>
    <t>13-3/8"@ 1367'</t>
  </si>
  <si>
    <t>5-1/2"@ 2005'</t>
  </si>
  <si>
    <t>2-7/8"@ 1900'</t>
  </si>
  <si>
    <t>11469-483</t>
  </si>
  <si>
    <t>11180-11673,3621-4036,2100-1367</t>
  </si>
  <si>
    <t>0905120079</t>
  </si>
  <si>
    <t>Converted to SWDW in August 1978/EPA permit #FLI0007</t>
  </si>
  <si>
    <t>OG_926</t>
  </si>
  <si>
    <t>TURNER #34-1</t>
  </si>
  <si>
    <t>1S34 45S 28E</t>
  </si>
  <si>
    <t>26° 31' 28.28393" N</t>
  </si>
  <si>
    <t>81° 30' 9.1158" W</t>
  </si>
  <si>
    <t>1347'FNL&amp;1322'FEL</t>
  </si>
  <si>
    <t>20" @ 270'</t>
  </si>
  <si>
    <t>13-3/8"@ 1364'</t>
  </si>
  <si>
    <t>9-5/8" @3784'</t>
  </si>
  <si>
    <t>11475-11505</t>
  </si>
  <si>
    <t>10850-11650 3610-3810 1190-1425 30-100</t>
  </si>
  <si>
    <t>0905120080</t>
  </si>
  <si>
    <t>OG_927</t>
  </si>
  <si>
    <t>TURNER #34-2</t>
  </si>
  <si>
    <t>2S34 45S 28E</t>
  </si>
  <si>
    <t>26° 31' 28.25792" N</t>
  </si>
  <si>
    <t>81° 30' 37.31702" W</t>
  </si>
  <si>
    <t>1336'FNL&amp;1321'FWL</t>
  </si>
  <si>
    <t>0905120081</t>
  </si>
  <si>
    <t>OG_928</t>
  </si>
  <si>
    <t>OLEUM CORP #35-3</t>
  </si>
  <si>
    <t>3S35 51S 34E</t>
  </si>
  <si>
    <t>25° 59' 3.08197" N</t>
  </si>
  <si>
    <t>80° 54' 1.12388" W</t>
  </si>
  <si>
    <t>1472'FSL&amp;1742'FWL</t>
  </si>
  <si>
    <t>13-3/8"@ 1511</t>
  </si>
  <si>
    <t>9-5/8" @ 4025'</t>
  </si>
  <si>
    <t>7"@ 11875'</t>
  </si>
  <si>
    <t>2-7/8"@ 5081'</t>
  </si>
  <si>
    <t>11381-12782</t>
  </si>
  <si>
    <t>11368-11408</t>
  </si>
  <si>
    <t>95 BOPD</t>
  </si>
  <si>
    <t>6.6 MCFPD</t>
  </si>
  <si>
    <t>272 BWPD</t>
  </si>
  <si>
    <t>11396-11410</t>
  </si>
  <si>
    <t>11401-10895 3948-3761 2306-1231 920-1020 649-811 295-435 0-119</t>
  </si>
  <si>
    <t>0902120114</t>
  </si>
  <si>
    <t>OG_929</t>
  </si>
  <si>
    <t>W S ROSASCO ETAL #24-1</t>
  </si>
  <si>
    <t>1S24 4N 28W</t>
  </si>
  <si>
    <t>30° 50' 38.74272" N</t>
  </si>
  <si>
    <t>86° 59' 42.02818" W</t>
  </si>
  <si>
    <t>1540'FNL&amp;1650'FEL</t>
  </si>
  <si>
    <t>10-3/4" 3602'</t>
  </si>
  <si>
    <t>15497-15557</t>
  </si>
  <si>
    <t>14819-15870 3460-3832 5-? (25 sacks cmt)</t>
  </si>
  <si>
    <t>0911320167</t>
  </si>
  <si>
    <t>OG_930</t>
  </si>
  <si>
    <t>GEORGE SANDERS ETAL #29-4</t>
  </si>
  <si>
    <t>4S29 45S 26E</t>
  </si>
  <si>
    <t>26° 31' 46.58307" N</t>
  </si>
  <si>
    <t>81° 43' 46.83613" W</t>
  </si>
  <si>
    <t>1075'FSL&amp;1326'FEL</t>
  </si>
  <si>
    <t>20" @ 240'</t>
  </si>
  <si>
    <t>13-3/8"@ 1512</t>
  </si>
  <si>
    <t>9-5/8" @3864'</t>
  </si>
  <si>
    <t>11522-11585 CHIPS</t>
  </si>
  <si>
    <t>11184-11827 3521-3931 1285-1523 0-100</t>
  </si>
  <si>
    <t>0907120073</t>
  </si>
  <si>
    <t>OG_931</t>
  </si>
  <si>
    <t>COOGLE #24-4</t>
  </si>
  <si>
    <t>4S24 4N 27W</t>
  </si>
  <si>
    <t>30° 50' 2.74139" N</t>
  </si>
  <si>
    <t>86° 53' 37.20055" W</t>
  </si>
  <si>
    <t>1126'FSL&amp;1513'FEL</t>
  </si>
  <si>
    <t>0911320168</t>
  </si>
  <si>
    <t>OG_932</t>
  </si>
  <si>
    <t>SEALY HEIRS #1</t>
  </si>
  <si>
    <t>3S8 1N 18W</t>
  </si>
  <si>
    <t>30° 35' 26.82366" N</t>
  </si>
  <si>
    <t>86° 4' 16.26413" W</t>
  </si>
  <si>
    <t>835'FSL&amp;660'FWL</t>
  </si>
  <si>
    <t>13-3/8"@ 216</t>
  </si>
  <si>
    <t>8-5/8"@ 1608'</t>
  </si>
  <si>
    <t>1500-1700 0-85</t>
  </si>
  <si>
    <t>0913120009</t>
  </si>
  <si>
    <t>OG_933</t>
  </si>
  <si>
    <t>USA-STATE FOREST #31-4</t>
  </si>
  <si>
    <t>4S31 4N 26W</t>
  </si>
  <si>
    <t>30° 48' 20.55251" N</t>
  </si>
  <si>
    <t>86° 52' 36.13847" W</t>
  </si>
  <si>
    <t>1570'FSL&amp;1070'FEL</t>
  </si>
  <si>
    <t>0911320169</t>
  </si>
  <si>
    <t>OG_934</t>
  </si>
  <si>
    <t>J B SWIFT ETAL #10-5</t>
  </si>
  <si>
    <t>30° 58' 1.5744" N</t>
  </si>
  <si>
    <t>87° 10' 19.4088" W</t>
  </si>
  <si>
    <t>302'FNL&amp;39'FWL</t>
  </si>
  <si>
    <t>10-3/4" 3789'</t>
  </si>
  <si>
    <t>7-5/8" @ 15749</t>
  </si>
  <si>
    <t>4-1/2" @ 15247</t>
  </si>
  <si>
    <t>15410-15726</t>
  </si>
  <si>
    <t>2816 BOPD</t>
  </si>
  <si>
    <t>15428-15612</t>
  </si>
  <si>
    <t>0-100 1323-1800 3355-3784 5932-6207 10050-10556 10988-11600 13780-?</t>
  </si>
  <si>
    <t>0911320170</t>
  </si>
  <si>
    <t>OG_935</t>
  </si>
  <si>
    <t>SRPC #43-1</t>
  </si>
  <si>
    <t>30° 57' 24.72026" N</t>
  </si>
  <si>
    <t>87° 10' 57.74851" W</t>
  </si>
  <si>
    <t xml:space="preserve">1058'FSL&amp;2158'FWL </t>
  </si>
  <si>
    <t>2460'FEL &amp; 2550'FSL</t>
  </si>
  <si>
    <t>16" @ 104'</t>
  </si>
  <si>
    <t>10-3/4" @ 3763</t>
  </si>
  <si>
    <t>7-5/8" @ 16021</t>
  </si>
  <si>
    <t>3-1/2" @ 15550</t>
  </si>
  <si>
    <t>15688-16038</t>
  </si>
  <si>
    <t>4476 BOPD</t>
  </si>
  <si>
    <t>6136 MCFPD</t>
  </si>
  <si>
    <t>15744-15884</t>
  </si>
  <si>
    <t>0911320171</t>
  </si>
  <si>
    <t>OG_936</t>
  </si>
  <si>
    <t>SRPC #6-2</t>
  </si>
  <si>
    <t>1S6 5N 29W</t>
  </si>
  <si>
    <t>30° 58' 48.02935" N</t>
  </si>
  <si>
    <t>87° 9' 21.31253" W</t>
  </si>
  <si>
    <t>500'FNL&amp;300'FEL</t>
  </si>
  <si>
    <t>9-5/8"@ 3734'</t>
  </si>
  <si>
    <t>7" 15713</t>
  </si>
  <si>
    <t>3-1/2" 15265'</t>
  </si>
  <si>
    <t>15444-15744</t>
  </si>
  <si>
    <t>3384 BOPD</t>
  </si>
  <si>
    <t>3239 MCFPD</t>
  </si>
  <si>
    <t>15571-15581</t>
  </si>
  <si>
    <t>15750-15713,15619-15466,14000-13500,3883-3482</t>
  </si>
  <si>
    <t>0911320172</t>
  </si>
  <si>
    <t>OG_937</t>
  </si>
  <si>
    <t>COLLIER CO #27-3</t>
  </si>
  <si>
    <t>3S27 48S 30E</t>
  </si>
  <si>
    <t>26° 16' 12.41487" N</t>
  </si>
  <si>
    <t>81° 18' 52.64219" W</t>
  </si>
  <si>
    <t xml:space="preserve">1060'FSL&amp;885'FWL </t>
  </si>
  <si>
    <t>20" @ 230.29'</t>
  </si>
  <si>
    <t>13-3/8"@ 1513</t>
  </si>
  <si>
    <t>9-5/8" @ 4113'</t>
  </si>
  <si>
    <t>7"@ 11623'</t>
  </si>
  <si>
    <t>11575-11623</t>
  </si>
  <si>
    <t>1 BOPD</t>
  </si>
  <si>
    <t>86 BWPD</t>
  </si>
  <si>
    <t>11591-11611</t>
  </si>
  <si>
    <t>10798-11623 3687-4122 1319-2068 350-1120 0-100</t>
  </si>
  <si>
    <t>0902120115</t>
  </si>
  <si>
    <t>EPA ID# FLS 0210008</t>
  </si>
  <si>
    <t>OG_938</t>
  </si>
  <si>
    <t>COLLIER CO #28-4</t>
  </si>
  <si>
    <t>4S28 48S 30E</t>
  </si>
  <si>
    <t>26° 16' 15.06598" N</t>
  </si>
  <si>
    <t>81° 19' 12.97434" W</t>
  </si>
  <si>
    <t>1356'FSL&amp;965'FEL</t>
  </si>
  <si>
    <t>0902120116</t>
  </si>
  <si>
    <t>OG_939</t>
  </si>
  <si>
    <t>SWD SYSTEM #9 WELL #1</t>
  </si>
  <si>
    <t>1S9 5N 29W</t>
  </si>
  <si>
    <t>30° 57' 47.5539" N</t>
  </si>
  <si>
    <t>87° 10' 23.07411" W</t>
  </si>
  <si>
    <t>1725'FNL&amp;242'FEL</t>
  </si>
  <si>
    <t>9-5/8"@ 2182'</t>
  </si>
  <si>
    <t>7"@ 6603'</t>
  </si>
  <si>
    <t>4 1/2@6175'</t>
  </si>
  <si>
    <t>6372-6551</t>
  </si>
  <si>
    <t>5545-6551 1780-2200 1258-1783 10-211</t>
  </si>
  <si>
    <t>0911320173</t>
  </si>
  <si>
    <t>EPA ID # FLS1130044/FLI0011</t>
  </si>
  <si>
    <t>OG_940</t>
  </si>
  <si>
    <t>SWD SYSTEM #9 WELL #2</t>
  </si>
  <si>
    <t>DIL BHCS GRN TL</t>
  </si>
  <si>
    <t>30° 58' 6.97936" N</t>
  </si>
  <si>
    <t>87° 10' 26.98252" W</t>
  </si>
  <si>
    <t>296'FSL&amp;586'FEL</t>
  </si>
  <si>
    <t>9-5/8"@ 2169'</t>
  </si>
  <si>
    <t>7"@ 6598'</t>
  </si>
  <si>
    <t>4 1/2@6154'</t>
  </si>
  <si>
    <t>6285-6500</t>
  </si>
  <si>
    <t>0911320174</t>
  </si>
  <si>
    <t>EPA ID # FLS1130053/FLI0012</t>
  </si>
  <si>
    <t>OG_941</t>
  </si>
  <si>
    <t>SWD SYSTEM #9 WELL #4</t>
  </si>
  <si>
    <t>30° 57' 27.66697" N</t>
  </si>
  <si>
    <t>87° 10' 22.50596" W</t>
  </si>
  <si>
    <t>3724'FNL&amp;144'FEL</t>
  </si>
  <si>
    <t>9-5/8"@ 2192'</t>
  </si>
  <si>
    <t>7"@ 6900'</t>
  </si>
  <si>
    <t>4 1/2@6108'</t>
  </si>
  <si>
    <t>6334-6718</t>
  </si>
  <si>
    <t>0911320175</t>
  </si>
  <si>
    <t>EPA ID # FLS1130054/FLI0019</t>
  </si>
  <si>
    <t>OG_942</t>
  </si>
  <si>
    <t>COLLIER CO #34-4</t>
  </si>
  <si>
    <t>DIL BHCS CNLDN DIP TEMP</t>
  </si>
  <si>
    <t>4S34 49S 32E</t>
  </si>
  <si>
    <t>26° 10' 16.74647" N</t>
  </si>
  <si>
    <t>81° 6' 29.30091" W</t>
  </si>
  <si>
    <t>1116'FSL&amp;1302'FEL</t>
  </si>
  <si>
    <t>20" @ 232'</t>
  </si>
  <si>
    <t>13-3/8"@ 1506</t>
  </si>
  <si>
    <t>7"@ 11795'</t>
  </si>
  <si>
    <t>2-7/8"@ 11315'</t>
  </si>
  <si>
    <t>11501-11590</t>
  </si>
  <si>
    <t>520 BWPD</t>
  </si>
  <si>
    <t>11383-11394 11368-11376</t>
  </si>
  <si>
    <t>10861-11411 5782-6100 4762-5140 1150-1489 0-180</t>
  </si>
  <si>
    <t>0902120117</t>
  </si>
  <si>
    <t>OG_943</t>
  </si>
  <si>
    <t>SCOTT PAPER CO #1-2</t>
  </si>
  <si>
    <t>2S1 5N 31W</t>
  </si>
  <si>
    <t>30° 58' 56.37961" N</t>
  </si>
  <si>
    <t>87° 17' 47.91619" W</t>
  </si>
  <si>
    <t>1027'FNL&amp;1250'FWL</t>
  </si>
  <si>
    <t>9-5/8"@ 3818'</t>
  </si>
  <si>
    <t>15200-16205 2960-4100 20-200</t>
  </si>
  <si>
    <t>0903320031</t>
  </si>
  <si>
    <t>OG_944</t>
  </si>
  <si>
    <t>JAY PEANUT CO INC #41-4</t>
  </si>
  <si>
    <t>30° 57' 24.30291" N</t>
  </si>
  <si>
    <t>87° 9' 21.96996" W</t>
  </si>
  <si>
    <t>1328'FSL&amp;200'FEL of Sec 10</t>
  </si>
  <si>
    <t>10-3/4" 3780'</t>
  </si>
  <si>
    <t>15484-15787</t>
  </si>
  <si>
    <t>15350-15822 11509-12008</t>
  </si>
  <si>
    <t>0911320176</t>
  </si>
  <si>
    <t>944A</t>
  </si>
  <si>
    <t>LAWRENCE L MALONE ETUX #41-4A</t>
  </si>
  <si>
    <t>1575'FSL &amp; 400'FEL\SEC 41</t>
  </si>
  <si>
    <t>7-5/8" 15746'</t>
  </si>
  <si>
    <t>3-1/2" 14978'</t>
  </si>
  <si>
    <t>15413-15677</t>
  </si>
  <si>
    <t>1426 BOPD</t>
  </si>
  <si>
    <t>1397 MCFPD</t>
  </si>
  <si>
    <t>15414-15541/15776-15781Norph</t>
  </si>
  <si>
    <t>0911320176-01</t>
  </si>
  <si>
    <t>EPA ID # FLS1130047/FLI0031, 5-1/2" liner 14994'-15802'</t>
  </si>
  <si>
    <t>OG_945</t>
  </si>
  <si>
    <t>EPSTEIN-MCMILLAN #35-4</t>
  </si>
  <si>
    <t>4S35 6N 31W</t>
  </si>
  <si>
    <t>30° 59' 21.57497" N</t>
  </si>
  <si>
    <t>87° 18' 12.91147" W</t>
  </si>
  <si>
    <t>1506'FSL&amp;982'FEL</t>
  </si>
  <si>
    <t>0903320032</t>
  </si>
  <si>
    <t>OG_946</t>
  </si>
  <si>
    <t>W H CRAPPS ETUX #36-3</t>
  </si>
  <si>
    <t>3S36 6N 31W</t>
  </si>
  <si>
    <t>30° 59' 19.96235" N</t>
  </si>
  <si>
    <t>87° 17' 8.72455" W</t>
  </si>
  <si>
    <t>1521'FSL&amp;754'FEL</t>
  </si>
  <si>
    <t>0903320033</t>
  </si>
  <si>
    <t>OG_947</t>
  </si>
  <si>
    <t>COLLIER CO #33-1</t>
  </si>
  <si>
    <t>Y(gas)</t>
  </si>
  <si>
    <t>1S33 47S 29E</t>
  </si>
  <si>
    <t>26° 21' 1.19173" N</t>
  </si>
  <si>
    <t>81° 25' 10.03694" W</t>
  </si>
  <si>
    <t>1090'FNL&amp;974'FEL</t>
  </si>
  <si>
    <t>13-3/8"@ 1366</t>
  </si>
  <si>
    <t>9-5/8" @3843'</t>
  </si>
  <si>
    <t xml:space="preserve">11636-11729 </t>
  </si>
  <si>
    <t>11532-11932 1168-1318 0-150</t>
  </si>
  <si>
    <t>0902120118</t>
  </si>
  <si>
    <t>OG_948</t>
  </si>
  <si>
    <t>MCDAVID LANDS ETAL #30-2B</t>
  </si>
  <si>
    <t>2S30 6N 29W</t>
  </si>
  <si>
    <t>31° 0' 10.60546" N</t>
  </si>
  <si>
    <t>87° 10' 15.99096" W</t>
  </si>
  <si>
    <t>ALABAMA</t>
  </si>
  <si>
    <t>30D 0' 10.03"N/87D 10' 16.06"W</t>
  </si>
  <si>
    <t>16"@ 103'</t>
  </si>
  <si>
    <t>10-3/4" 3640.'</t>
  </si>
  <si>
    <t>7" 15802</t>
  </si>
  <si>
    <t>4 1/2&amp;3 1/2@15326</t>
  </si>
  <si>
    <t>15485-15796</t>
  </si>
  <si>
    <t>1544.56 BOPD</t>
  </si>
  <si>
    <t>2660 MCFPD</t>
  </si>
  <si>
    <t>15522-15806</t>
  </si>
  <si>
    <t>0105320125</t>
  </si>
  <si>
    <t>SHL in AL/BHL in FL AL well #2533-B</t>
  </si>
  <si>
    <t>OG_949</t>
  </si>
  <si>
    <t>R L BURNS CORP,ENEX RESOURCES CORP</t>
  </si>
  <si>
    <t>TURNER #26-3</t>
  </si>
  <si>
    <t>DIL BHCS CNL ML CALIPER CC CBL</t>
  </si>
  <si>
    <t>3S26 45S 28E</t>
  </si>
  <si>
    <t>26° 31' 56.09957" N</t>
  </si>
  <si>
    <t>81° 29' 41.32093" W</t>
  </si>
  <si>
    <t xml:space="preserve">1333'FSL&amp;1119'FWL </t>
  </si>
  <si>
    <t>30" @ 121'</t>
  </si>
  <si>
    <t>13-3/8"@ 1349'</t>
  </si>
  <si>
    <t>5-1/2" 11491'</t>
  </si>
  <si>
    <t>11429-11485</t>
  </si>
  <si>
    <t>422.93 BOPD</t>
  </si>
  <si>
    <t>11478-11485</t>
  </si>
  <si>
    <t>10846-11494 3425-? 2160-0</t>
  </si>
  <si>
    <t>0905120082</t>
  </si>
  <si>
    <t>OG_950</t>
  </si>
  <si>
    <t>RDR &amp; ROBERT C MASON</t>
  </si>
  <si>
    <t>CTLC #7-1</t>
  </si>
  <si>
    <t>1S7 44S 26E</t>
  </si>
  <si>
    <t>26° 40' 7.27199" N</t>
  </si>
  <si>
    <t>81° 44' 54.80575" W</t>
  </si>
  <si>
    <t>1040'FNL&amp;1588'FEL</t>
  </si>
  <si>
    <t>20" @ 280'</t>
  </si>
  <si>
    <t>11331-11433 11539-11582</t>
  </si>
  <si>
    <t>11100-11400 3570-? 1350-? 3-100</t>
  </si>
  <si>
    <t>0907120074</t>
  </si>
  <si>
    <t>OG_951</t>
  </si>
  <si>
    <t>ASHLAND EXPLORATION INC</t>
  </si>
  <si>
    <t>A DUDA &amp; SONS INC #29-2</t>
  </si>
  <si>
    <t>2S29 44S 28E</t>
  </si>
  <si>
    <t>26° 37' 33.03566" N</t>
  </si>
  <si>
    <t>81° 32' 41.41489" W</t>
  </si>
  <si>
    <t>1320'FNL&amp;1470'FWL</t>
  </si>
  <si>
    <t>13-3/8"@ 1448'</t>
  </si>
  <si>
    <t>9-5/8"@ 3572'</t>
  </si>
  <si>
    <t>11403-11500</t>
  </si>
  <si>
    <t>11270-11680 3450-3614 1307-1501 3-100</t>
  </si>
  <si>
    <t>0905120083</t>
  </si>
  <si>
    <t>OG_952</t>
  </si>
  <si>
    <t>SIERRA PROD CO</t>
  </si>
  <si>
    <t>OLEUM CORP ETAL #4-1</t>
  </si>
  <si>
    <t>1S4 49S 32E</t>
  </si>
  <si>
    <t>26° 15' 15.5394" N</t>
  </si>
  <si>
    <t>81° 7' 36.76368" W</t>
  </si>
  <si>
    <t>462'FNL&amp;1314'FEL</t>
  </si>
  <si>
    <t>0902120119</t>
  </si>
  <si>
    <t>OG_953</t>
  </si>
  <si>
    <t>BARRON COLLIER JR #5-1</t>
  </si>
  <si>
    <t>1S5 49S 33E</t>
  </si>
  <si>
    <t>26° 15' 14.65751" N</t>
  </si>
  <si>
    <t>81° 2' 43.27519" W</t>
  </si>
  <si>
    <t>929'FNL&amp;1313'FEL</t>
  </si>
  <si>
    <t>0902120120</t>
  </si>
  <si>
    <t>OG_954</t>
  </si>
  <si>
    <t>CTLC #25-4</t>
  </si>
  <si>
    <t>26° 31' 31.37107" N</t>
  </si>
  <si>
    <t>81° 33' 47.6365" W</t>
  </si>
  <si>
    <t>860'FNL&amp;250'FWL Sec 31</t>
  </si>
  <si>
    <t>660'FEL &amp; 660'FWL Sec 25</t>
  </si>
  <si>
    <t>7"@ 11970'</t>
  </si>
  <si>
    <t>11713-11451.5</t>
  </si>
  <si>
    <t>15 BOPD</t>
  </si>
  <si>
    <t>471 BWPD</t>
  </si>
  <si>
    <t>11941-11949</t>
  </si>
  <si>
    <t>11942-11492,3650-3431,1917-500,300-4</t>
  </si>
  <si>
    <t>0905120085</t>
  </si>
  <si>
    <t>P# 455 wellbore used for this hole</t>
  </si>
  <si>
    <t>OG_955</t>
  </si>
  <si>
    <t>TOTAL PETROLEUM INC</t>
  </si>
  <si>
    <t>MCDANIEL #3-2</t>
  </si>
  <si>
    <t>2S3 47S 33E</t>
  </si>
  <si>
    <t>26° 25' 41.54599" N</t>
  </si>
  <si>
    <t>81° 1' 23.20597" W</t>
  </si>
  <si>
    <t>1250'FNL&amp;1450'FWL</t>
  </si>
  <si>
    <t>0905120084</t>
  </si>
  <si>
    <t>OG_956</t>
  </si>
  <si>
    <t>OWENS ILLINOIS GLASS CO #1</t>
  </si>
  <si>
    <t>4S6 4S 18E</t>
  </si>
  <si>
    <t>30° 10' 11.95638" N</t>
  </si>
  <si>
    <t>82° 32' 40.50933" W</t>
  </si>
  <si>
    <t xml:space="preserve">1886'FSL&amp;667'FEL </t>
  </si>
  <si>
    <t>13-3/8"@ 500'</t>
  </si>
  <si>
    <t>8-5/8"@ 1530'</t>
  </si>
  <si>
    <t>1655-1373, 62-0</t>
  </si>
  <si>
    <t>0902320012</t>
  </si>
  <si>
    <t>OG_957</t>
  </si>
  <si>
    <t>ST JOE PAPER CO #29-4</t>
  </si>
  <si>
    <t>4S29 5S 9W</t>
  </si>
  <si>
    <t>30° 0' 58.3411" N</t>
  </si>
  <si>
    <t>85° 9' 38.68535" W</t>
  </si>
  <si>
    <t>1600'FSL&amp;1612'FEL</t>
  </si>
  <si>
    <t>20" @ 312'</t>
  </si>
  <si>
    <t>10-3/4" 3598.'</t>
  </si>
  <si>
    <t>12969-12992 13336-13396</t>
  </si>
  <si>
    <t>13595-13785 12850-13070 3452-3682 50-150</t>
  </si>
  <si>
    <t>0904520005</t>
  </si>
  <si>
    <t>OG_958</t>
  </si>
  <si>
    <t>N L GOLDEN #23-5</t>
  </si>
  <si>
    <t>30° 56' 11.85937" N</t>
  </si>
  <si>
    <t>87° 8' 27.10256" W</t>
  </si>
  <si>
    <t>690'FNL&amp;590'FEL</t>
  </si>
  <si>
    <t>10-3/4" 3795.31'</t>
  </si>
  <si>
    <t>7" 15845.31</t>
  </si>
  <si>
    <t>3-1/2" 15387'</t>
  </si>
  <si>
    <t>15558-15844</t>
  </si>
  <si>
    <t>4.23 BOPD</t>
  </si>
  <si>
    <t>3836 MCFPD</t>
  </si>
  <si>
    <t>15677-15705</t>
  </si>
  <si>
    <t>15379-15846 7496-7965 6159-6550 4770-5549 3476-4012 1396-1817 10-124</t>
  </si>
  <si>
    <t>0911320177</t>
  </si>
  <si>
    <t>OG_959</t>
  </si>
  <si>
    <t>LEHIGH-CTLC #24-3</t>
  </si>
  <si>
    <t>3S23 44S 26E</t>
  </si>
  <si>
    <t>26° 37' 44.99213" N</t>
  </si>
  <si>
    <t>81° 40' 46.12519" W</t>
  </si>
  <si>
    <t>403'FSL&amp;261'FEL of Sec 23</t>
  </si>
  <si>
    <t>1500FWL&amp;1150FSL Sec 24</t>
  </si>
  <si>
    <t>20"@ 237</t>
  </si>
  <si>
    <t>9-5/8" 3618.75</t>
  </si>
  <si>
    <t>11777-11852.6</t>
  </si>
  <si>
    <t>10852-11852 3250-3574 1325-? 8-175</t>
  </si>
  <si>
    <t>0907120075</t>
  </si>
  <si>
    <t>OG_960</t>
  </si>
  <si>
    <t>BCC #23-1</t>
  </si>
  <si>
    <t>1S23 6S 7W</t>
  </si>
  <si>
    <t>29° 56' 39.92494" N</t>
  </si>
  <si>
    <t>84° 54' 25.89564" W</t>
  </si>
  <si>
    <t>1150'FNL&amp;1400'FEL</t>
  </si>
  <si>
    <t>10-3/4"@ 3485'</t>
  </si>
  <si>
    <t>12246-12726</t>
  </si>
  <si>
    <t>12865-11880,3614-3239,40-10</t>
  </si>
  <si>
    <t>0903720003</t>
  </si>
  <si>
    <t>OG_961</t>
  </si>
  <si>
    <t>MCDAVID LANDS ETAL #33-4</t>
  </si>
  <si>
    <t>30° 59' 4.75837" N</t>
  </si>
  <si>
    <t>87° 10' 2.29607" W</t>
  </si>
  <si>
    <t xml:space="preserve">995'FSL&amp;2274'FEL </t>
  </si>
  <si>
    <t>3500FEL&amp;200FNL</t>
  </si>
  <si>
    <t>10-3/4" 3617'</t>
  </si>
  <si>
    <t>15501-15782</t>
  </si>
  <si>
    <t>15000-15783 8375-8975</t>
  </si>
  <si>
    <t>0911320178</t>
  </si>
  <si>
    <t>961A</t>
  </si>
  <si>
    <t>MCDAVID LANDS ETAL #33-4A</t>
  </si>
  <si>
    <t>2S33 6N 29W</t>
  </si>
  <si>
    <t>7" 15732.01</t>
  </si>
  <si>
    <t>3-1/2"@14995.15'</t>
  </si>
  <si>
    <t>15333-15715</t>
  </si>
  <si>
    <t>1056 BOPD</t>
  </si>
  <si>
    <t>1860MCFPD</t>
  </si>
  <si>
    <t>228 BWPD</t>
  </si>
  <si>
    <t>15493-15645</t>
  </si>
  <si>
    <t>0911320178-01</t>
  </si>
  <si>
    <t>EPA ID # FLS1130033</t>
  </si>
  <si>
    <t>OG_962</t>
  </si>
  <si>
    <t>COLLIER CO #2-7</t>
  </si>
  <si>
    <t>26° 14' 53.66784" N</t>
  </si>
  <si>
    <t>81° 17' 44.9463" W</t>
  </si>
  <si>
    <t>1680'FNL&amp;1503'FWL</t>
  </si>
  <si>
    <t>1515'S &amp; 907'E of SHL</t>
  </si>
  <si>
    <t>20"@ 260'</t>
  </si>
  <si>
    <t>13-3/8"@ 1540</t>
  </si>
  <si>
    <t>9-5/8"@ 4090</t>
  </si>
  <si>
    <t>7"@ 11919</t>
  </si>
  <si>
    <t>2-7/8"@ 11800'</t>
  </si>
  <si>
    <t>11895-11915</t>
  </si>
  <si>
    <t>279.17 BOPD</t>
  </si>
  <si>
    <t>11896-11919</t>
  </si>
  <si>
    <t>11868-11925</t>
  </si>
  <si>
    <t>0902120121</t>
  </si>
  <si>
    <t>962AH</t>
  </si>
  <si>
    <t>COLLIER COMPANY 2-7AH</t>
  </si>
  <si>
    <t>3477'S &amp; 2134'E OF SHL</t>
  </si>
  <si>
    <t>7"@ 11853</t>
  </si>
  <si>
    <t>3-1/2"@10350'</t>
  </si>
  <si>
    <t>3627 BWPD</t>
  </si>
  <si>
    <t>OH HZ 11888-14219 MD</t>
  </si>
  <si>
    <t>0902120121-01</t>
  </si>
  <si>
    <t>OG_963</t>
  </si>
  <si>
    <t>GERRY BROTHERS #35-1</t>
  </si>
  <si>
    <t>1S35 49S 31E</t>
  </si>
  <si>
    <t>26° 10' 39.24185" N</t>
  </si>
  <si>
    <t>81° 11' 32.48945" W</t>
  </si>
  <si>
    <t>1193'FNL&amp;1473'FEL</t>
  </si>
  <si>
    <t>0902120122</t>
  </si>
  <si>
    <t>OG_964</t>
  </si>
  <si>
    <t>GERRY BROTHERS #36-3</t>
  </si>
  <si>
    <t>3S36 49S 31E</t>
  </si>
  <si>
    <t>26° 10' 17.12899" N</t>
  </si>
  <si>
    <t>81° 11' 0.35686" W</t>
  </si>
  <si>
    <t xml:space="preserve">1518'FSL&amp;1402'FWL </t>
  </si>
  <si>
    <t>0902120123</t>
  </si>
  <si>
    <t>OG_965</t>
  </si>
  <si>
    <t>GERRY BROTHERS #36-4</t>
  </si>
  <si>
    <t>4S36 49S 31E</t>
  </si>
  <si>
    <t>26° 10' 18.4516" N</t>
  </si>
  <si>
    <t>81° 10' 33.21739" W</t>
  </si>
  <si>
    <t xml:space="preserve">1606'FSL&amp;1378'FEL </t>
  </si>
  <si>
    <t>0902120124</t>
  </si>
  <si>
    <t>OG_966</t>
  </si>
  <si>
    <t>CTLC #20-1</t>
  </si>
  <si>
    <t>1S20 44S 26E</t>
  </si>
  <si>
    <t>26° 38' 17.97374" N</t>
  </si>
  <si>
    <t>81° 43' 52.35941" W</t>
  </si>
  <si>
    <t>1621'FNL&amp;1318'FEL</t>
  </si>
  <si>
    <t>20"@ 231.37</t>
  </si>
  <si>
    <t>9-5/8" 3620</t>
  </si>
  <si>
    <t>11357-11450</t>
  </si>
  <si>
    <t>11450-10450 3270-3620 1175-1305? 0-175</t>
  </si>
  <si>
    <t>0907120078</t>
  </si>
  <si>
    <t>OG_967</t>
  </si>
  <si>
    <t>BESSIE JOYNER ETAL #18-3</t>
  </si>
  <si>
    <t>3S18 5N 29W</t>
  </si>
  <si>
    <t>30° 56' 26.59863" N</t>
  </si>
  <si>
    <t>87° 9' 3.25501" W</t>
  </si>
  <si>
    <t>701'FSL&amp;1525'FWL</t>
  </si>
  <si>
    <t>9-5/8"@ 3863.49'</t>
  </si>
  <si>
    <t>7"@ 15822'</t>
  </si>
  <si>
    <t>2-7/8"@ 15317'</t>
  </si>
  <si>
    <t>15475-15806</t>
  </si>
  <si>
    <t>3340 BOPD</t>
  </si>
  <si>
    <t>4192 MCFPD</t>
  </si>
  <si>
    <t>15607-770</t>
  </si>
  <si>
    <t>0911320179</t>
  </si>
  <si>
    <t>EPA ID # FLS1130021</t>
  </si>
  <si>
    <t>OG_968</t>
  </si>
  <si>
    <t>KOGC &amp; HUGHES &amp; HUGHES</t>
  </si>
  <si>
    <t>SEMINOLE TRIBE #6-3</t>
  </si>
  <si>
    <t>3S6 48S 33E</t>
  </si>
  <si>
    <t>26° 20' 0.12869" N</t>
  </si>
  <si>
    <t>81° 4' 22.54601" W</t>
  </si>
  <si>
    <t>1523'FSL&amp;979'FWL</t>
  </si>
  <si>
    <t>20"@ 236</t>
  </si>
  <si>
    <t>13-3/8"@ 1360</t>
  </si>
  <si>
    <t>9-5/8"@ 4041</t>
  </si>
  <si>
    <t>11415-11501</t>
  </si>
  <si>
    <t>11314-11666 3940-4140 2873-2973 1184-1436 0-150</t>
  </si>
  <si>
    <t>0905120086</t>
  </si>
  <si>
    <t>OG_969</t>
  </si>
  <si>
    <t>LEHIGH CORP #14-1</t>
  </si>
  <si>
    <t>1S13 45S 27E</t>
  </si>
  <si>
    <t>26° 34' 10.90895" N</t>
  </si>
  <si>
    <t>81° 34' 46.18387" W</t>
  </si>
  <si>
    <t>400'FNL &amp; 420'FWL</t>
  </si>
  <si>
    <t>1332'FNL &amp; 1307'FEL</t>
  </si>
  <si>
    <t>20"@ 255</t>
  </si>
  <si>
    <t>13-3/8"@ 1502</t>
  </si>
  <si>
    <t>7"@ 11973</t>
  </si>
  <si>
    <t>2-7/8"@ 7700</t>
  </si>
  <si>
    <t>11946-11973</t>
  </si>
  <si>
    <t>O MCF</t>
  </si>
  <si>
    <t>66 BWPD</t>
  </si>
  <si>
    <t>11956-11970</t>
  </si>
  <si>
    <t>11186-11685 3282-3478 1338-1948 673-872 224-430 0-115</t>
  </si>
  <si>
    <t>0907120079</t>
  </si>
  <si>
    <t>Reentry of P# 892</t>
  </si>
  <si>
    <t>OG_970</t>
  </si>
  <si>
    <t>GOLD KING PRODUCTION CO</t>
  </si>
  <si>
    <t>MATTIE KELLY SIMS ETAL TRUSTEES #1</t>
  </si>
  <si>
    <t>30° 23' 39.75792" N</t>
  </si>
  <si>
    <t>86° 24' 39.93959" W</t>
  </si>
  <si>
    <t>5007' N of Hwy 98&amp;4445' W of Cnty line</t>
  </si>
  <si>
    <t>20" @227'</t>
  </si>
  <si>
    <t>10-3/4" 3801'</t>
  </si>
  <si>
    <t>3400-3900 0-100</t>
  </si>
  <si>
    <t>0909120005</t>
  </si>
  <si>
    <t>Same surface hole location as P# 807</t>
  </si>
  <si>
    <t>OG_971</t>
  </si>
  <si>
    <t>MCDAVID LANDS ETAL #33-5</t>
  </si>
  <si>
    <t>30° 58' 59.6982" N</t>
  </si>
  <si>
    <t>87° 10' 6.41716" W</t>
  </si>
  <si>
    <t>158'FSL&amp;2630'FEL</t>
  </si>
  <si>
    <t>0911320180</t>
  </si>
  <si>
    <t>OG_972</t>
  </si>
  <si>
    <t>HUGHES &amp; HUGHES</t>
  </si>
  <si>
    <t>STATE LEASE #1 UNIT #8-3</t>
  </si>
  <si>
    <t>DIL BHCS CNLDN GR</t>
  </si>
  <si>
    <t>3S8 43S 39E</t>
  </si>
  <si>
    <t>26° 44' 37.99207" N</t>
  </si>
  <si>
    <t>80° 28' 9.87245" W</t>
  </si>
  <si>
    <t>1581'FSL&amp;1322'FWL</t>
  </si>
  <si>
    <t>20" @ 162'</t>
  </si>
  <si>
    <t>13-3/8" @ 1225'</t>
  </si>
  <si>
    <t>4090-3840,1320-1020,25-4</t>
  </si>
  <si>
    <t>0909920006</t>
  </si>
  <si>
    <t>OG_973</t>
  </si>
  <si>
    <t>W W JOHNSON ETAL #5-5</t>
  </si>
  <si>
    <t>30° 58' 12.38936" N</t>
  </si>
  <si>
    <t>87° 9' 13.59255" W</t>
  </si>
  <si>
    <t>1038'FSL&amp;440'FWL</t>
  </si>
  <si>
    <t>300FWL&amp;600FSL</t>
  </si>
  <si>
    <t>10-3/4" 3777.15'</t>
  </si>
  <si>
    <t>15456-15807</t>
  </si>
  <si>
    <t>15382-15770</t>
  </si>
  <si>
    <t>0911320181</t>
  </si>
  <si>
    <t>973A</t>
  </si>
  <si>
    <t>W.W.JOHNSON ETAL #5-5A</t>
  </si>
  <si>
    <t>470FWL&amp;830FSL</t>
  </si>
  <si>
    <t>7-5/8" 15680.05'</t>
  </si>
  <si>
    <t>4 1/2&amp;3 1/2@15255</t>
  </si>
  <si>
    <t>15510-15729</t>
  </si>
  <si>
    <t>0911320181-01</t>
  </si>
  <si>
    <t>EPA ID # FLS1130012</t>
  </si>
  <si>
    <t>OG_974</t>
  </si>
  <si>
    <t>COLLIER CO #19-4</t>
  </si>
  <si>
    <t>4S19 49S 30E</t>
  </si>
  <si>
    <t>26° 11' 13.8722" N</t>
  </si>
  <si>
    <t>81° 20' 59.85637" W</t>
  </si>
  <si>
    <t>1074'FSL&amp;1335'FEL</t>
  </si>
  <si>
    <t>9-5/8"@ 3807</t>
  </si>
  <si>
    <t>11530-11670</t>
  </si>
  <si>
    <t>12014-11450,3900-3700,1400-1200,150-0</t>
  </si>
  <si>
    <t>0902120125</t>
  </si>
  <si>
    <t>OG_975</t>
  </si>
  <si>
    <t>COLLIER CO #8-2</t>
  </si>
  <si>
    <t>2S8 49S 29E</t>
  </si>
  <si>
    <t>26° 13' 28.30087" N</t>
  </si>
  <si>
    <t>81° 26' 22.63196" W</t>
  </si>
  <si>
    <t>1302'FNL&amp;1335'FWL</t>
  </si>
  <si>
    <t>0902120126</t>
  </si>
  <si>
    <t>OG_976</t>
  </si>
  <si>
    <t>COLLIER CO #5-3</t>
  </si>
  <si>
    <t>3S5 49S 29E</t>
  </si>
  <si>
    <t>26° 14' 9.84618" N</t>
  </si>
  <si>
    <t>81° 26' 33.00059" W</t>
  </si>
  <si>
    <t>2802'FSL&amp;833'FWL</t>
  </si>
  <si>
    <t>0902120127</t>
  </si>
  <si>
    <t>OG_977</t>
  </si>
  <si>
    <t>MCDAVID LANDS ETAL #31-3</t>
  </si>
  <si>
    <t>3S37 6N 30W</t>
  </si>
  <si>
    <t>30° 59' 30.42101" N</t>
  </si>
  <si>
    <t>87° 11' 6.18381" W</t>
  </si>
  <si>
    <t>515'FNL&amp;440'FEL of Sec 37</t>
  </si>
  <si>
    <t>2500'FNL 100'FWL/S31 6N 29W</t>
  </si>
  <si>
    <t>16" @ 108</t>
  </si>
  <si>
    <t>10-3/4" 3540.07'</t>
  </si>
  <si>
    <t>7-5/8" 15639.61'</t>
  </si>
  <si>
    <t>4 1/2&amp;3 1/2@15148</t>
  </si>
  <si>
    <t>15370-15636</t>
  </si>
  <si>
    <t>234 BOPD</t>
  </si>
  <si>
    <t>716 MCFPD</t>
  </si>
  <si>
    <t>2781 BWPD</t>
  </si>
  <si>
    <t>15329-15579</t>
  </si>
  <si>
    <t>0903320036</t>
  </si>
  <si>
    <t>OG_978</t>
  </si>
  <si>
    <t>NATURAL RESOURCE MGMT CORP</t>
  </si>
  <si>
    <t>20" 242'</t>
  </si>
  <si>
    <t>9-5/8" 3980'</t>
  </si>
  <si>
    <t>11300-11464 3880-4080 1245-1445 0-150</t>
  </si>
  <si>
    <t>0905120087</t>
  </si>
  <si>
    <t>OG_979</t>
  </si>
  <si>
    <t>CHAPMAN #34-1</t>
  </si>
  <si>
    <t>1S34 45S 26E</t>
  </si>
  <si>
    <t>26° 31' 20.02058" N</t>
  </si>
  <si>
    <t>81° 41' 47.25759" W</t>
  </si>
  <si>
    <t>1350'FNL&amp;1050'FEL</t>
  </si>
  <si>
    <t>9-5/8" @3812'</t>
  </si>
  <si>
    <t>11546-11807</t>
  </si>
  <si>
    <t>11432-11632 3712-3862 1200-1350 0-50</t>
  </si>
  <si>
    <t>0907120080</t>
  </si>
  <si>
    <t>OG_980</t>
  </si>
  <si>
    <t>LINNIE ESTES LIPSCOMB #23-2</t>
  </si>
  <si>
    <t>2S23 2N 27W</t>
  </si>
  <si>
    <t>30° 40' 7.97958" N</t>
  </si>
  <si>
    <t>86° 55' 27.98279" W</t>
  </si>
  <si>
    <t>16" 126'</t>
  </si>
  <si>
    <t>10-3/4" 3881'</t>
  </si>
  <si>
    <t>16170-16562</t>
  </si>
  <si>
    <t>15700-16750 3580-4030 0-25</t>
  </si>
  <si>
    <t>0911320182</t>
  </si>
  <si>
    <t>OG_981</t>
  </si>
  <si>
    <t>COLLIER CO #34-5</t>
  </si>
  <si>
    <t>26° 15' 31.1616" N</t>
  </si>
  <si>
    <t>81° 18' 13.104" W</t>
  </si>
  <si>
    <t>2150'FSL&amp;932'FEL</t>
  </si>
  <si>
    <t>1075FEL&amp;1100FSL</t>
  </si>
  <si>
    <t>20" 257'</t>
  </si>
  <si>
    <t>9-5/8" 4101'</t>
  </si>
  <si>
    <t>7" 11738'</t>
  </si>
  <si>
    <t>11687-11734</t>
  </si>
  <si>
    <t>204 BOPD</t>
  </si>
  <si>
    <t>5 BOWPD</t>
  </si>
  <si>
    <t>11708-11712 11719-11733</t>
  </si>
  <si>
    <t>CIBP @ 11664' MD</t>
  </si>
  <si>
    <t>0902120128</t>
  </si>
  <si>
    <t>981AH</t>
  </si>
  <si>
    <t>COLLIER CO #34-5AH</t>
  </si>
  <si>
    <t>DIR GR/TEMP</t>
  </si>
  <si>
    <t>1077'&amp;66' W of SHL</t>
  </si>
  <si>
    <t>11665-11738 MD cuttings</t>
  </si>
  <si>
    <t>11498-11738 MD</t>
  </si>
  <si>
    <t>0902120128-01</t>
  </si>
  <si>
    <t>981BH</t>
  </si>
  <si>
    <t>COLLIER CO #34-5BH</t>
  </si>
  <si>
    <t>532FEL&amp;244FSL</t>
  </si>
  <si>
    <t>7"@11736'</t>
  </si>
  <si>
    <t>2 7/8"@9865'</t>
  </si>
  <si>
    <t>11657-12696 MD cuttings</t>
  </si>
  <si>
    <t>300 BOPD</t>
  </si>
  <si>
    <t>39.3 MCFD</t>
  </si>
  <si>
    <t>1601 BWPD</t>
  </si>
  <si>
    <t>OH HZ 11817-12696 MD</t>
  </si>
  <si>
    <t>0902120128-02</t>
  </si>
  <si>
    <t>OG_982</t>
  </si>
  <si>
    <t>COLLIER CO #14-3</t>
  </si>
  <si>
    <t>3S14 49S 30E</t>
  </si>
  <si>
    <t>26° 12' 10.3366" N</t>
  </si>
  <si>
    <t>81° 17' 38.92973" W</t>
  </si>
  <si>
    <t>1347'FSL&amp;1493'FWL</t>
  </si>
  <si>
    <t>1347 FSL 1493 FWL</t>
  </si>
  <si>
    <t>20" 265'</t>
  </si>
  <si>
    <t>13-3/8" 1529'</t>
  </si>
  <si>
    <t>9-5/8" 4134'</t>
  </si>
  <si>
    <t>CHIPS 11510-11685</t>
  </si>
  <si>
    <t>11038-11910 3950-4250 2115-2160 1284-2022 405-900 0-200</t>
  </si>
  <si>
    <t>0902120129</t>
  </si>
  <si>
    <t>OG_983</t>
  </si>
  <si>
    <t>RED CATTLE #27-1</t>
  </si>
  <si>
    <t>DIL CNL</t>
  </si>
  <si>
    <t>1S27 45S 28E</t>
  </si>
  <si>
    <t>26° 32' 20.26766" N</t>
  </si>
  <si>
    <t>81° 30' 4.77251" W</t>
  </si>
  <si>
    <t>1500'FNL&amp;1000'FEL</t>
  </si>
  <si>
    <t>20" @272'</t>
  </si>
  <si>
    <t>9-5/8" 3910'</t>
  </si>
  <si>
    <t>5-1/2" 11493'</t>
  </si>
  <si>
    <t>11446-11493</t>
  </si>
  <si>
    <t>57.75 BOPD</t>
  </si>
  <si>
    <t>230 BWPD</t>
  </si>
  <si>
    <t>11484-11487</t>
  </si>
  <si>
    <t xml:space="preserve">11220-11420 3748-4108 1218-1823 0-50 </t>
  </si>
  <si>
    <t>0905120088</t>
  </si>
  <si>
    <t>OG_984</t>
  </si>
  <si>
    <t>SHEPHERD OIL &amp; GAS INC</t>
  </si>
  <si>
    <t>SHEPHERD-OWENS-ILLINOIS #1</t>
  </si>
  <si>
    <t>4S32 3S 18E</t>
  </si>
  <si>
    <t>30° 10' 53.30212" N</t>
  </si>
  <si>
    <t>82° 31' 37.58124" W</t>
  </si>
  <si>
    <t>737'FSL&amp;470'FEL</t>
  </si>
  <si>
    <t>0902320013</t>
  </si>
  <si>
    <t>OG_985</t>
  </si>
  <si>
    <t>SHEPHERD-RAYONIER #2</t>
  </si>
  <si>
    <t>1S20 4S 18E</t>
  </si>
  <si>
    <t>30° 7' 49.41271" N</t>
  </si>
  <si>
    <t>82° 31' 57.82991" W</t>
  </si>
  <si>
    <t>1965'FNL&amp;2048'FEL</t>
  </si>
  <si>
    <t>0902320015</t>
  </si>
  <si>
    <t>OG_986</t>
  </si>
  <si>
    <t>SHEPHERD-RAYONIER #1</t>
  </si>
  <si>
    <t>2S8 4S 18E</t>
  </si>
  <si>
    <t>30° 9' 44.88174" N</t>
  </si>
  <si>
    <t>82° 32' 10.9577" W</t>
  </si>
  <si>
    <t>850'FNL&amp;1980'FWL</t>
  </si>
  <si>
    <t>12-3/4"@ 113'</t>
  </si>
  <si>
    <t>7"@ 1493'</t>
  </si>
  <si>
    <t>4-1/2"@ 3029</t>
  </si>
  <si>
    <t>2-3/8"@ 2964'</t>
  </si>
  <si>
    <t>2950-2650,1700-1300,SURFPLUG 7 SX CMT 7"CSG</t>
  </si>
  <si>
    <t>0902320014</t>
  </si>
  <si>
    <t>OG_987</t>
  </si>
  <si>
    <t>TURNER CORP #8-1</t>
  </si>
  <si>
    <t>DIL BHCS CNLDN CNL DIP</t>
  </si>
  <si>
    <t>1S8 45S 28E</t>
  </si>
  <si>
    <t>26° 34' 57.13367" N</t>
  </si>
  <si>
    <t>81° 32' 10.58963" W</t>
  </si>
  <si>
    <t>1520'FNL&amp;1320'FEL</t>
  </si>
  <si>
    <t>20" @259'</t>
  </si>
  <si>
    <t>13-3/8"@ 1339'</t>
  </si>
  <si>
    <t>9-5/8" 3605</t>
  </si>
  <si>
    <t>11407-11542</t>
  </si>
  <si>
    <t>10680-11680 3270-37001130-1350 0-175</t>
  </si>
  <si>
    <t>0905120089</t>
  </si>
  <si>
    <t>OG_988</t>
  </si>
  <si>
    <t>DAWSON NOWLING ETAL #14-2</t>
  </si>
  <si>
    <t>2S14 4N 29W</t>
  </si>
  <si>
    <t>30° 51' 50.96743" N</t>
  </si>
  <si>
    <t>87° 6' 59.9417" W</t>
  </si>
  <si>
    <t>200'FNL&amp;2400'FWL</t>
  </si>
  <si>
    <t>16" @ 102</t>
  </si>
  <si>
    <t>9-5/8" @ 3993</t>
  </si>
  <si>
    <t>15795-15974</t>
  </si>
  <si>
    <t>15485-15974 8141-8300</t>
  </si>
  <si>
    <t>0911320183</t>
  </si>
  <si>
    <t>988A</t>
  </si>
  <si>
    <t>2737'FNL &amp; 2540'FEL</t>
  </si>
  <si>
    <t>7" @ 16616</t>
  </si>
  <si>
    <t>3-1/2" @ 16268</t>
  </si>
  <si>
    <t>16407-16448,16451-16468</t>
  </si>
  <si>
    <t>13100-12750,4133-3733,1814-1414,100-0</t>
  </si>
  <si>
    <t>0911320183-01</t>
  </si>
  <si>
    <t>Kicked off from P#988 wellbore/EPA ID# FLS1130004</t>
  </si>
  <si>
    <t>OG_989</t>
  </si>
  <si>
    <t>TURNER CORP #22-4</t>
  </si>
  <si>
    <t>4S22 45S 28E</t>
  </si>
  <si>
    <t>26° 32' 45.95945" N</t>
  </si>
  <si>
    <t>81° 30' 5.88473" W</t>
  </si>
  <si>
    <t>1040'FSL&amp;1040'FEL</t>
  </si>
  <si>
    <t>20" @240'</t>
  </si>
  <si>
    <t>13-3/8"@ 1341'</t>
  </si>
  <si>
    <t>9-5/8" 3805</t>
  </si>
  <si>
    <t>11462-11550</t>
  </si>
  <si>
    <t>11250-11550 3705-3905 1269-1469 0-150</t>
  </si>
  <si>
    <t>0905120090</t>
  </si>
  <si>
    <t>OG_990</t>
  </si>
  <si>
    <t>TURNER #26-2</t>
  </si>
  <si>
    <t>2S26 45S 28E</t>
  </si>
  <si>
    <t>26° 32' 21.1321" N</t>
  </si>
  <si>
    <t>81° 29' 43.6834" W</t>
  </si>
  <si>
    <t>1500'FNL&amp;1000'FWL</t>
  </si>
  <si>
    <t>20" @200'</t>
  </si>
  <si>
    <t>13-3/8"@ 1419'</t>
  </si>
  <si>
    <t>9-5/8" 3808</t>
  </si>
  <si>
    <t>11437-11521</t>
  </si>
  <si>
    <t>10957-11457 3200-3598 2518-2818 1169-1619 0-220</t>
  </si>
  <si>
    <t>0905120091</t>
  </si>
  <si>
    <t>OG_991</t>
  </si>
  <si>
    <t>MCDAVID LANDS ETAL #38-2</t>
  </si>
  <si>
    <t>2S39 5N 30W</t>
  </si>
  <si>
    <t>30° 58' 3.51418" N</t>
  </si>
  <si>
    <t>87° 11' 37.35926" W</t>
  </si>
  <si>
    <t>461'FNL&amp;1326'EofEL of Sec 40</t>
  </si>
  <si>
    <t>2411'N&amp;1245'W of SHL</t>
  </si>
  <si>
    <t>16" @ 101</t>
  </si>
  <si>
    <t>10-3/4" 3698'</t>
  </si>
  <si>
    <t>7" @ 16252.43</t>
  </si>
  <si>
    <t>3-1/2" 15885'</t>
  </si>
  <si>
    <t>16000-16328</t>
  </si>
  <si>
    <t>2292 BOPD</t>
  </si>
  <si>
    <t>3396 MCFPD</t>
  </si>
  <si>
    <t>16086-16108,16110-16202,16230-16246</t>
  </si>
  <si>
    <t>0911320184</t>
  </si>
  <si>
    <t>OG_992</t>
  </si>
  <si>
    <t>30° 51' 22.03758" N</t>
  </si>
  <si>
    <t>87° 7' 1.7022" W</t>
  </si>
  <si>
    <t>2317'FSL&amp;2349"FWL</t>
  </si>
  <si>
    <t>0911320185</t>
  </si>
  <si>
    <t>OG_993</t>
  </si>
  <si>
    <t>0902120130</t>
  </si>
  <si>
    <t>OG_994</t>
  </si>
  <si>
    <t>LEE CYPRESS #28-5</t>
  </si>
  <si>
    <t>26° 32' 1.18947" N</t>
  </si>
  <si>
    <t>81° 31' 44.17356" W</t>
  </si>
  <si>
    <t>1998'FSL&amp;660'FWL</t>
  </si>
  <si>
    <t>13-3/8"@ 1311'</t>
  </si>
  <si>
    <t>12-1/4"@ 3500'</t>
  </si>
  <si>
    <t>7"@ 11560'</t>
  </si>
  <si>
    <t>2-7/8"@ 8013'</t>
  </si>
  <si>
    <t>11435-11485</t>
  </si>
  <si>
    <t>24 BOPD</t>
  </si>
  <si>
    <t>2 MCF</t>
  </si>
  <si>
    <t>158 BWPD</t>
  </si>
  <si>
    <t>11448-11466</t>
  </si>
  <si>
    <t>10845-11560 3200-3700 1770-1173 960-1120 570-810 0-100</t>
  </si>
  <si>
    <t>0905120092</t>
  </si>
  <si>
    <t>OG_995</t>
  </si>
  <si>
    <t>W R POLK #18-4</t>
  </si>
  <si>
    <t>30° 56' 29.77549" N</t>
  </si>
  <si>
    <t>87° 8' 27.03319" W</t>
  </si>
  <si>
    <t>1132'FSL&amp;599"FEL</t>
  </si>
  <si>
    <t>10-3/4" 3821.46'</t>
  </si>
  <si>
    <t>7" 15798.39'</t>
  </si>
  <si>
    <t>3-1/2" 15373'</t>
  </si>
  <si>
    <t>4120 BOPD</t>
  </si>
  <si>
    <t>4736MCFPD</t>
  </si>
  <si>
    <t>17BWPD</t>
  </si>
  <si>
    <t>15560-15730</t>
  </si>
  <si>
    <t>0911320186</t>
  </si>
  <si>
    <t>OG_996</t>
  </si>
  <si>
    <t>RED CATTLE CO B #29-5</t>
  </si>
  <si>
    <t>26° 31' 46.97307" N</t>
  </si>
  <si>
    <t>81° 32' 13.45393" W</t>
  </si>
  <si>
    <t>660' FSL&amp;2078' FEL</t>
  </si>
  <si>
    <t>20" @208'</t>
  </si>
  <si>
    <t>17.5"@ 1328'</t>
  </si>
  <si>
    <t>12.25"@ 3500'</t>
  </si>
  <si>
    <t>8.75" @ 11565'</t>
  </si>
  <si>
    <t>2.5" @10550'</t>
  </si>
  <si>
    <t>11435-11495</t>
  </si>
  <si>
    <t>80 BBL</t>
  </si>
  <si>
    <t>744 BBL</t>
  </si>
  <si>
    <t>11438 - 11467</t>
  </si>
  <si>
    <t>11459-11565 10652-11290 3231-3455 1221-2052 470-870 0-180</t>
  </si>
  <si>
    <t>0905120093</t>
  </si>
  <si>
    <t>OG_997</t>
  </si>
  <si>
    <t>OLEUM CORP #2-2</t>
  </si>
  <si>
    <t>DIL BHCS CNLDN DIP CALIPER-GR</t>
  </si>
  <si>
    <t>2S2 52S 34E</t>
  </si>
  <si>
    <t>25° 58' 42.4368" N</t>
  </si>
  <si>
    <t>80° 54' 13.49239" W</t>
  </si>
  <si>
    <t>424'FNL&amp;670'FWL</t>
  </si>
  <si>
    <t>1306 FNL 1343 FWL</t>
  </si>
  <si>
    <t>20"@ 237'</t>
  </si>
  <si>
    <t>13-3/8"@ 1523</t>
  </si>
  <si>
    <t>9-5/8"@ 3982</t>
  </si>
  <si>
    <t>7" 11500</t>
  </si>
  <si>
    <t>2-3/8" 10569'</t>
  </si>
  <si>
    <t>11510-11570</t>
  </si>
  <si>
    <t>126 BOPD</t>
  </si>
  <si>
    <t>159 BSWPD</t>
  </si>
  <si>
    <t>11526-11538</t>
  </si>
  <si>
    <t>11544-10860,4050-3808,2353-1265,1023-923(see comm)</t>
  </si>
  <si>
    <t>0902120131</t>
  </si>
  <si>
    <t>OG_998</t>
  </si>
  <si>
    <t>OLEUM CORP #2-3</t>
  </si>
  <si>
    <t>3S2 52S 34E</t>
  </si>
  <si>
    <t>25° 58' 43.90301" N</t>
  </si>
  <si>
    <t>80° 54' 13.3696" W</t>
  </si>
  <si>
    <t>304'FNL&amp;651'FWL</t>
  </si>
  <si>
    <t>3637' South&amp;945' East of SHL</t>
  </si>
  <si>
    <t>20" 255'</t>
  </si>
  <si>
    <t>13-3/8" 1500'</t>
  </si>
  <si>
    <t>9-5/8" 4011'</t>
  </si>
  <si>
    <t>7" 12655</t>
  </si>
  <si>
    <t>4 1/2 12758</t>
  </si>
  <si>
    <t>12670-12758</t>
  </si>
  <si>
    <t>12721-12733 12740-12743</t>
  </si>
  <si>
    <t>12752-12730 3677-3802</t>
  </si>
  <si>
    <t>0902120132</t>
  </si>
  <si>
    <t>998A</t>
  </si>
  <si>
    <t>OLEUM CORP #2-3A/SWD System #1 Well #2</t>
  </si>
  <si>
    <t>9-5/8" 2443'</t>
  </si>
  <si>
    <t>7"@ 2396</t>
  </si>
  <si>
    <t>3 1/2@2468'</t>
  </si>
  <si>
    <t>OH 2443' to 3140'</t>
  </si>
  <si>
    <t>0902120132-01</t>
  </si>
  <si>
    <t>FLI0037 is EPA Permit # / FLS0210016 EPA ID#</t>
  </si>
  <si>
    <t>OG_999</t>
  </si>
  <si>
    <t>AMERICAN NATURAL GAS PRODUCTION CO</t>
  </si>
  <si>
    <t>COLLIER CO #6-3</t>
  </si>
  <si>
    <t>3S6 49S 33E</t>
  </si>
  <si>
    <t>26° 14' 40.31074" N</t>
  </si>
  <si>
    <t>81° 4' 7.24274" W</t>
  </si>
  <si>
    <t>1224'FSL&amp;1591'FWL</t>
  </si>
  <si>
    <t>0902120133</t>
  </si>
  <si>
    <t>OG_1000</t>
  </si>
  <si>
    <t>COLLIER CO #6-4</t>
  </si>
  <si>
    <t>4S6 49S 33E</t>
  </si>
  <si>
    <t>26° 14' 37.66765" N</t>
  </si>
  <si>
    <t>81° 3' 39.13081" W</t>
  </si>
  <si>
    <t>880'FSL&amp;1285'FEL</t>
  </si>
  <si>
    <t>13-3/8" 1350'</t>
  </si>
  <si>
    <t>9-5/8" 3998</t>
  </si>
  <si>
    <t>11414-11474</t>
  </si>
  <si>
    <t>11311-11673 3672-3945 1230-1380 0-219</t>
  </si>
  <si>
    <t>0902120134</t>
  </si>
  <si>
    <t>OG_1001</t>
  </si>
  <si>
    <t>ALICO #31-2</t>
  </si>
  <si>
    <t>DISFL CNFD BHCS DIP DIR</t>
  </si>
  <si>
    <t>2S31 46S 28E</t>
  </si>
  <si>
    <t>26° 25' 58.11005" N</t>
  </si>
  <si>
    <t>81° 33' 19.07987" W</t>
  </si>
  <si>
    <t>1495'FNL&amp; 2290'FWL</t>
  </si>
  <si>
    <t>13-3/8" 1303'</t>
  </si>
  <si>
    <t>9-5/8" 3904</t>
  </si>
  <si>
    <t>11582-11874</t>
  </si>
  <si>
    <t>11584-11884 3780-3833 *(see comments)</t>
  </si>
  <si>
    <t>0902120135</t>
  </si>
  <si>
    <t>P# 1056 kicked off from this wellbore</t>
  </si>
  <si>
    <t>OG_1002</t>
  </si>
  <si>
    <t>R.D.SCOTT #41-5</t>
  </si>
  <si>
    <t>DIFL CNLD BHCS DIR CALIP</t>
  </si>
  <si>
    <t>30° 57' 4.6836" N</t>
  </si>
  <si>
    <t>87° 9' 27.9" W</t>
  </si>
  <si>
    <t>660'FNL&amp;660'FEL of Sec 19</t>
  </si>
  <si>
    <t>1000 FWL 300 FSL (of Sec 41)</t>
  </si>
  <si>
    <t>10-3/4"@ 3691'</t>
  </si>
  <si>
    <t>7"@16025'</t>
  </si>
  <si>
    <t>5"@14383-15940</t>
  </si>
  <si>
    <t>3-1/2"@ 14348'</t>
  </si>
  <si>
    <t>15596-16024</t>
  </si>
  <si>
    <t>3632 BOPD</t>
  </si>
  <si>
    <t>2520 MCFPD</t>
  </si>
  <si>
    <t>15696-15897</t>
  </si>
  <si>
    <t>0911320187</t>
  </si>
  <si>
    <t>EPA ID # FLS1130040</t>
  </si>
  <si>
    <t>OG_1003</t>
  </si>
  <si>
    <t>PRICE-STATE OF FLORIDA #35-4</t>
  </si>
  <si>
    <t>DIFL PDC DIR CALIPER</t>
  </si>
  <si>
    <t>26° 15' 27.81221" N</t>
  </si>
  <si>
    <t>81° 17' 49.72918" W</t>
  </si>
  <si>
    <t>1802'FSL&amp;1224'FWL</t>
  </si>
  <si>
    <t>1000 FSL 600 FEL</t>
  </si>
  <si>
    <t>20" 258'</t>
  </si>
  <si>
    <t>13-3/8" 1525'</t>
  </si>
  <si>
    <t>9-5/8" 4001'</t>
  </si>
  <si>
    <t>7" 11698'</t>
  </si>
  <si>
    <t>2-7/8" 11127'</t>
  </si>
  <si>
    <t>12670-12734</t>
  </si>
  <si>
    <t>6 BOPD</t>
  </si>
  <si>
    <t>64 BSWPD</t>
  </si>
  <si>
    <t>12703-12729</t>
  </si>
  <si>
    <t>12748-12265,11260-11029,3850-3788,2075-2042</t>
  </si>
  <si>
    <t>0902120136</t>
  </si>
  <si>
    <t>OG_1004</t>
  </si>
  <si>
    <t>MARTHA MURPHY #10-6</t>
  </si>
  <si>
    <t>DIFL CNLD BHCS DIR</t>
  </si>
  <si>
    <t>30° 57' 34.7364" N</t>
  </si>
  <si>
    <t>87° 9' 21.8052" W</t>
  </si>
  <si>
    <t>2395'FSL&amp;195'FEL</t>
  </si>
  <si>
    <t>16" 97'</t>
  </si>
  <si>
    <t>9-5/8" 3868'</t>
  </si>
  <si>
    <t>7" 15786'</t>
  </si>
  <si>
    <t>3-1/2" 15232'</t>
  </si>
  <si>
    <t>15375-15787</t>
  </si>
  <si>
    <t>1358 MCFPD</t>
  </si>
  <si>
    <t>15450-15776</t>
  </si>
  <si>
    <t>0911320188</t>
  </si>
  <si>
    <t>1004AH</t>
  </si>
  <si>
    <t>MARTHA MURPHY #10-6AH</t>
  </si>
  <si>
    <t>1004BH</t>
  </si>
  <si>
    <t>MARTHA MURPHY #10-6BH</t>
  </si>
  <si>
    <t>OG_1005</t>
  </si>
  <si>
    <t>A E KELLY #7-7</t>
  </si>
  <si>
    <t>30° 58' 17.02389" N</t>
  </si>
  <si>
    <t>87° 9' 42.16448" W</t>
  </si>
  <si>
    <t>835'FSL&amp;719' E of EL of Sec. 7</t>
  </si>
  <si>
    <t>641 FSL 385 FEL (of Sec. 7)</t>
  </si>
  <si>
    <t>16" 103'</t>
  </si>
  <si>
    <t>10-3/4" 3717'</t>
  </si>
  <si>
    <t>7" 15823'</t>
  </si>
  <si>
    <t>3-1/2" 15290'</t>
  </si>
  <si>
    <t>15495-15855</t>
  </si>
  <si>
    <t>1323 BOPD</t>
  </si>
  <si>
    <t>1589 MCFPD</t>
  </si>
  <si>
    <t>138 BSWPD</t>
  </si>
  <si>
    <t>15544-15725</t>
  </si>
  <si>
    <t>0-50, 1010-1391, 1396-1730, 5941-6370, 9545-9995, 14700-14925</t>
  </si>
  <si>
    <t>0911320189</t>
  </si>
  <si>
    <t>OG_1006</t>
  </si>
  <si>
    <t>SOUTHWEST FOREST INDUSTRIES #13-3</t>
  </si>
  <si>
    <t>3S13 2S 12W</t>
  </si>
  <si>
    <t>30° 18' 32.57106" N</t>
  </si>
  <si>
    <t>85° 23' 57.52147" W</t>
  </si>
  <si>
    <t>1353'FSL&amp;2169'FWL</t>
  </si>
  <si>
    <t>1050 FSL 1600 FWL</t>
  </si>
  <si>
    <t>0900520003</t>
  </si>
  <si>
    <t>OG_1007</t>
  </si>
  <si>
    <t>SUNOCO FELDA #32-9</t>
  </si>
  <si>
    <t>DISFL CNLD BHCS</t>
  </si>
  <si>
    <t>26° 31' 23.898" N</t>
  </si>
  <si>
    <t>81° 26' 21.08062" W</t>
  </si>
  <si>
    <t>2200'FNL&amp;1400'FEL</t>
  </si>
  <si>
    <t>20" 199'</t>
  </si>
  <si>
    <t>13-3/8" 1318'</t>
  </si>
  <si>
    <t>9-5/8" 3510'</t>
  </si>
  <si>
    <t>5-1/2" 11594'</t>
  </si>
  <si>
    <t>2-7/8" 11527'</t>
  </si>
  <si>
    <t>11457-11517</t>
  </si>
  <si>
    <t>1 MCFPD</t>
  </si>
  <si>
    <t>256 BSWPD</t>
  </si>
  <si>
    <t>11486-11496</t>
  </si>
  <si>
    <t>11594-020,3454-254,2130-1250,1200-830,770-370,104-4</t>
  </si>
  <si>
    <t>0905120094</t>
  </si>
  <si>
    <t>OG_1008</t>
  </si>
  <si>
    <t>SUNOCO FELDA #32-10</t>
  </si>
  <si>
    <t>26° 31' 28.30397" N</t>
  </si>
  <si>
    <t>81° 26' 34.48201" W</t>
  </si>
  <si>
    <t>1750'FNL&amp;2600'FEL</t>
  </si>
  <si>
    <t>0905120095</t>
  </si>
  <si>
    <t>OG_1009</t>
  </si>
  <si>
    <t>SUNOCO FELDA #33-7</t>
  </si>
  <si>
    <t>26° 31' 0.21205" N</t>
  </si>
  <si>
    <t>81° 25' 58.30817" W</t>
  </si>
  <si>
    <t>447'FSL&amp;726'FWL</t>
  </si>
  <si>
    <t>447 FSL 350 FWL</t>
  </si>
  <si>
    <t>0905120096</t>
  </si>
  <si>
    <t>OG_1010</t>
  </si>
  <si>
    <t>DIL CNLD BHCS INDLAT</t>
  </si>
  <si>
    <t>30° 18' 34.19869" N</t>
  </si>
  <si>
    <t>85° 23' 56.67418" W</t>
  </si>
  <si>
    <t>20" 205'</t>
  </si>
  <si>
    <t>9-5/8" 3509'</t>
  </si>
  <si>
    <t>16095-16125</t>
  </si>
  <si>
    <t>11640-12486,3449-2906,1500-1050,27-5</t>
  </si>
  <si>
    <t>0900520004</t>
  </si>
  <si>
    <t>OG_1011</t>
  </si>
  <si>
    <t>OLEUM CORP #22-2</t>
  </si>
  <si>
    <t>2S22 50S 33E</t>
  </si>
  <si>
    <t>26° 6' 29.41177" N</t>
  </si>
  <si>
    <t>81° 1' 6.42284" W</t>
  </si>
  <si>
    <t>0902120137</t>
  </si>
  <si>
    <t>OG_1012</t>
  </si>
  <si>
    <t>OLEUM CORP #21-1</t>
  </si>
  <si>
    <t>DISFL CNLD</t>
  </si>
  <si>
    <t>1S21 50S 33E</t>
  </si>
  <si>
    <t>26° 6' 32.20703" N</t>
  </si>
  <si>
    <t>81° 1' 22.09727" W</t>
  </si>
  <si>
    <t>804'FNL&amp;473'FEL</t>
  </si>
  <si>
    <t>1320 FNL 1320 FEL</t>
  </si>
  <si>
    <t>20" 260'</t>
  </si>
  <si>
    <t>13-3/8" 1501'</t>
  </si>
  <si>
    <t>9-5/8" 4104'</t>
  </si>
  <si>
    <t>7" 11443'</t>
  </si>
  <si>
    <t>11440-11491</t>
  </si>
  <si>
    <t>11155-11772 5810-6110 3944-4244 1317-1617 34-175</t>
  </si>
  <si>
    <t>0902120138</t>
  </si>
  <si>
    <t>OG_1013</t>
  </si>
  <si>
    <t>D R SIMMONS #19-6</t>
  </si>
  <si>
    <t>DISFL BHCS CNFD DIR</t>
  </si>
  <si>
    <t>30° 56' 56.47161" N</t>
  </si>
  <si>
    <t>87° 9' 31.37305" W</t>
  </si>
  <si>
    <t>1495'FNL&amp;963'FEL</t>
  </si>
  <si>
    <t>1400 FNL 50 FEL</t>
  </si>
  <si>
    <t>10-3/4" 3788'</t>
  </si>
  <si>
    <t>7" 15985'</t>
  </si>
  <si>
    <t>3-1/2" 15446'</t>
  </si>
  <si>
    <t>15541-15989</t>
  </si>
  <si>
    <t>1146 BOPD</t>
  </si>
  <si>
    <t>1315 MCFPD</t>
  </si>
  <si>
    <t>9 BSWPD</t>
  </si>
  <si>
    <t>15675-15813</t>
  </si>
  <si>
    <t>TOC 14,930'</t>
  </si>
  <si>
    <t>0911320190</t>
  </si>
  <si>
    <t>1013A</t>
  </si>
  <si>
    <t>D R SIMMONS #19-6A</t>
  </si>
  <si>
    <t>30° 56' 56.49224" N</t>
  </si>
  <si>
    <t>87° 9' 31.39051" W</t>
  </si>
  <si>
    <t>1418 FNL 68 FEL</t>
  </si>
  <si>
    <t>OG_1014</t>
  </si>
  <si>
    <t>CONSOLIDATED TOMOKA LAND CO #29-3</t>
  </si>
  <si>
    <t>3S29 44S 27E</t>
  </si>
  <si>
    <t>26° 37' 30.20668" N</t>
  </si>
  <si>
    <t>81° 38' 32.33557" W</t>
  </si>
  <si>
    <t>1139'FNL&amp;1267'FWL</t>
  </si>
  <si>
    <t>1304 FSL 1310 FWL</t>
  </si>
  <si>
    <t>13-3/8" 1465'</t>
  </si>
  <si>
    <t>9-5/8" 3610'</t>
  </si>
  <si>
    <t>12195-12265</t>
  </si>
  <si>
    <t>11800-12500 3416-3716 (see followup)</t>
  </si>
  <si>
    <t>0907120081</t>
  </si>
  <si>
    <t>P#1158 kicked off from this well bore</t>
  </si>
  <si>
    <t>OG_1015</t>
  </si>
  <si>
    <t>FRANCES EXUM #34-15</t>
  </si>
  <si>
    <t>DISFL BHCS CBL ML</t>
  </si>
  <si>
    <t>4S34 3S 9E</t>
  </si>
  <si>
    <t>30° 10' 33.51074" N</t>
  </si>
  <si>
    <t>83° 24' 22.95092" W</t>
  </si>
  <si>
    <t>975'FSL&amp;1472'FEL</t>
  </si>
  <si>
    <t>20" 154'</t>
  </si>
  <si>
    <t>9-5/8" 1746'</t>
  </si>
  <si>
    <t>7-5/8" 5346'</t>
  </si>
  <si>
    <t>4850-5050 5-55</t>
  </si>
  <si>
    <t>0912320005</t>
  </si>
  <si>
    <t>OG_1016</t>
  </si>
  <si>
    <t>WEISINGER #32-2</t>
  </si>
  <si>
    <t>DISFL BHCS ML DIR</t>
  </si>
  <si>
    <t>2S32 46S 29E</t>
  </si>
  <si>
    <t>26° 26' 8.5357" N</t>
  </si>
  <si>
    <t>81° 26' 43.05221" W</t>
  </si>
  <si>
    <t>1593'FNL&amp;1544'FWL</t>
  </si>
  <si>
    <t>20" 200'</t>
  </si>
  <si>
    <t>13-3/8" 1373'</t>
  </si>
  <si>
    <t>9-5/8" 4000'</t>
  </si>
  <si>
    <t>11557-11604</t>
  </si>
  <si>
    <t>11761-11840</t>
  </si>
  <si>
    <t>10437-10537 3845-4100 1300-1500 20-150</t>
  </si>
  <si>
    <t>0902120139</t>
  </si>
  <si>
    <t>OG_1017</t>
  </si>
  <si>
    <t>TURNER CORP #22-1</t>
  </si>
  <si>
    <t>1S22 45S 28E</t>
  </si>
  <si>
    <t>26° 33' 10.93694" N</t>
  </si>
  <si>
    <t>81° 30' 10.16629" W</t>
  </si>
  <si>
    <t>1720'FNL&amp;1320'FEL</t>
  </si>
  <si>
    <t>0905120097</t>
  </si>
  <si>
    <t>OG_1018</t>
  </si>
  <si>
    <t>TURNER CORP #22-3</t>
  </si>
  <si>
    <t>3S22 45S 28E</t>
  </si>
  <si>
    <t>26° 32' 46.23094" N</t>
  </si>
  <si>
    <t>81° 30' 35.13139" W</t>
  </si>
  <si>
    <t>1100'FSL&amp;1650'FWL</t>
  </si>
  <si>
    <t>0905120098</t>
  </si>
  <si>
    <t>OG_1019</t>
  </si>
  <si>
    <t>DISFL BHCS</t>
  </si>
  <si>
    <t>26° 37' 53.56247" N</t>
  </si>
  <si>
    <t>81° 42' 2.32869" W</t>
  </si>
  <si>
    <t>1266'FSL&amp;1890'FEL</t>
  </si>
  <si>
    <t>9-5/8" 260'</t>
  </si>
  <si>
    <t>7" 1603'</t>
  </si>
  <si>
    <t>5"@1431'-1850'</t>
  </si>
  <si>
    <t>3-1/2"&amp; 2-7/8@ 1830'</t>
  </si>
  <si>
    <t>0907120082</t>
  </si>
  <si>
    <t>EPA Permit # FLI 0025</t>
  </si>
  <si>
    <t>OG_1020</t>
  </si>
  <si>
    <t>LEE #1-3</t>
  </si>
  <si>
    <t>DISFL BHCS CNFD TEMP DIP</t>
  </si>
  <si>
    <t>3S1 46S 28E</t>
  </si>
  <si>
    <t>26° 30' 5.70128" N</t>
  </si>
  <si>
    <t>81° 28' 45.89015" W</t>
  </si>
  <si>
    <t>1100'FSL&amp;1000'FWL</t>
  </si>
  <si>
    <t>20" 231'</t>
  </si>
  <si>
    <t>13-3/8" 1414'</t>
  </si>
  <si>
    <t>9-5/8" 3808'</t>
  </si>
  <si>
    <t>11472-11687</t>
  </si>
  <si>
    <t>3650-3850 1150-1350 20-150</t>
  </si>
  <si>
    <t>0902120140</t>
  </si>
  <si>
    <t>OG_1021</t>
  </si>
  <si>
    <t>SRPC #9-5</t>
  </si>
  <si>
    <t>TEMP CBL MICROSEIS</t>
  </si>
  <si>
    <t>30° 57' 19.28693" N</t>
  </si>
  <si>
    <t>87° 10' 39.84827" W</t>
  </si>
  <si>
    <t>663'FSL&amp;1785'FEL</t>
  </si>
  <si>
    <t>1850 FSL 1750 FEL</t>
  </si>
  <si>
    <t>10-3/4" 3735'</t>
  </si>
  <si>
    <t>7" 6929'</t>
  </si>
  <si>
    <t>SEE PERMIT 1047</t>
  </si>
  <si>
    <t>0911320191</t>
  </si>
  <si>
    <t>THIS IS NOW PERMIT 1047</t>
  </si>
  <si>
    <t>1021A</t>
  </si>
  <si>
    <t>SRPC #9-5A</t>
  </si>
  <si>
    <t>DISFL BHCS CNLD DIR NUCLMAG TEMP</t>
  </si>
  <si>
    <t>30° 57' 20.15176" N</t>
  </si>
  <si>
    <t>87° 10' 40.99646" W</t>
  </si>
  <si>
    <t>1923 FSL 1989 FEL</t>
  </si>
  <si>
    <t>10-3/4" 3772'</t>
  </si>
  <si>
    <t>7" 15990'</t>
  </si>
  <si>
    <t>3-1/2" 15395'</t>
  </si>
  <si>
    <t>15626-15987</t>
  </si>
  <si>
    <t>678 BOPD</t>
  </si>
  <si>
    <t>1037 MCFPD</t>
  </si>
  <si>
    <t>15662-15806</t>
  </si>
  <si>
    <t>0911320192</t>
  </si>
  <si>
    <t>Skidded rig 35" from P# 1021 wellbore</t>
  </si>
  <si>
    <t>OG_1022</t>
  </si>
  <si>
    <t>COLLIER CO #23-3</t>
  </si>
  <si>
    <t>DISFL BHCS DIP INDSFL ML</t>
  </si>
  <si>
    <t>3S23 48S 30E</t>
  </si>
  <si>
    <t>26° 17' 14.31941" N</t>
  </si>
  <si>
    <t>81° 17' 48.79602" W</t>
  </si>
  <si>
    <t>1945'FSL&amp;1568'FWL</t>
  </si>
  <si>
    <t>20" 225'</t>
  </si>
  <si>
    <t>13-3/8" 1538'</t>
  </si>
  <si>
    <t>9-5/8" 3956'</t>
  </si>
  <si>
    <t>11330-11730 3790-4151 25-150</t>
  </si>
  <si>
    <t>0902120141</t>
  </si>
  <si>
    <t>OG_1023</t>
  </si>
  <si>
    <t>4S23 48S 30E</t>
  </si>
  <si>
    <t>26° 17' 17.17922" N</t>
  </si>
  <si>
    <t>81° 17' 30.9066" W</t>
  </si>
  <si>
    <t>2174'FSL&amp;2211'FEL</t>
  </si>
  <si>
    <t>0902120142</t>
  </si>
  <si>
    <t>OG_1024</t>
  </si>
  <si>
    <t>TURNER CORP #35-2</t>
  </si>
  <si>
    <t>2S35 48S 29E</t>
  </si>
  <si>
    <t>26° 15' 44.11804" N</t>
  </si>
  <si>
    <t>81° 23' 39.22246" W</t>
  </si>
  <si>
    <t>1330'FNL&amp;1670'FWL</t>
  </si>
  <si>
    <t>0902120143</t>
  </si>
  <si>
    <t>OG_1025</t>
  </si>
  <si>
    <t>DISFL CNFD</t>
  </si>
  <si>
    <t>2S4 47S 30E</t>
  </si>
  <si>
    <t>26° 25' 23.07718" N</t>
  </si>
  <si>
    <t>81° 19' 56.81348" W</t>
  </si>
  <si>
    <t>13-3/8" 1505'</t>
  </si>
  <si>
    <t>9-5/8" 3602'</t>
  </si>
  <si>
    <t>11567-11627</t>
  </si>
  <si>
    <t>10746-11846 3280-3810 976-1316 40-180</t>
  </si>
  <si>
    <t>0902120144</t>
  </si>
  <si>
    <t>OG_1026</t>
  </si>
  <si>
    <t>ALICO #30-3</t>
  </si>
  <si>
    <t>DISFL BHCS CNFD PDC CSGCOL</t>
  </si>
  <si>
    <t>3S30 45S 30E</t>
  </si>
  <si>
    <t>26° 31' 55.38756" N</t>
  </si>
  <si>
    <t>81° 22' 3.59713" W</t>
  </si>
  <si>
    <t>680'FSL&amp;880'FWL</t>
  </si>
  <si>
    <t>20" 221'</t>
  </si>
  <si>
    <t>13-3/8" 1406'</t>
  </si>
  <si>
    <t>9-5/8" 3825'</t>
  </si>
  <si>
    <t>11441-11542</t>
  </si>
  <si>
    <t>11140-11440 3657-3807 1250-1450 20-150</t>
  </si>
  <si>
    <t>0905120099</t>
  </si>
  <si>
    <t>OG_1027</t>
  </si>
  <si>
    <t>CHEVRON</t>
  </si>
  <si>
    <t>LA FLORESTA #2-1</t>
  </si>
  <si>
    <t>DISFL CNFD FDL DSTNDT ML FMTST</t>
  </si>
  <si>
    <t>1S2 3N 33W</t>
  </si>
  <si>
    <t>30° 48' 41.19984" N</t>
  </si>
  <si>
    <t>87° 30' 42.07781" W</t>
  </si>
  <si>
    <t>1114'FNL&amp;1320'FEL</t>
  </si>
  <si>
    <t>30"@100'</t>
  </si>
  <si>
    <t>20"@607'</t>
  </si>
  <si>
    <t>13-3/8"@4527'</t>
  </si>
  <si>
    <t>9-5/8"@16423'</t>
  </si>
  <si>
    <t>17420-17620</t>
  </si>
  <si>
    <t>9589-9696</t>
  </si>
  <si>
    <t>O BOPD</t>
  </si>
  <si>
    <t>O MCFPD</t>
  </si>
  <si>
    <t>30 BSWPD</t>
  </si>
  <si>
    <t>6525-7225 4425-4625 100-400</t>
  </si>
  <si>
    <t>0903320037</t>
  </si>
  <si>
    <t>OG_1028</t>
  </si>
  <si>
    <t>LEHIGH CORP-CTLC #9-4</t>
  </si>
  <si>
    <t>DIL BHCS DIP DIR</t>
  </si>
  <si>
    <t>4S9 45S 27E</t>
  </si>
  <si>
    <t>1529'FNL&amp;215'FEL</t>
  </si>
  <si>
    <t>1341 FSL 1291 FEL</t>
  </si>
  <si>
    <t>20" 232'</t>
  </si>
  <si>
    <t>13-3/8" 1352'</t>
  </si>
  <si>
    <t>9-5/8" 3590'</t>
  </si>
  <si>
    <t>12350-12470</t>
  </si>
  <si>
    <t>11379-12470 3423-3794 1145-1476 27-175</t>
  </si>
  <si>
    <t>0907120083</t>
  </si>
  <si>
    <t>OG_1029</t>
  </si>
  <si>
    <t>VOLACO OIL PRODUCTION CO</t>
  </si>
  <si>
    <t>O'REILLY-FORD #2-2</t>
  </si>
  <si>
    <t>2S2 18S 33E</t>
  </si>
  <si>
    <t>28° 58' 17.88496" N</t>
  </si>
  <si>
    <t>80° 59' 54.89927" W</t>
  </si>
  <si>
    <t>1612'FNL&amp;1716'FWL</t>
  </si>
  <si>
    <t>0912720001</t>
  </si>
  <si>
    <t>OG_1030</t>
  </si>
  <si>
    <t>AUDUBON SOCIETY #1-1</t>
  </si>
  <si>
    <t>1S1 47S 27E</t>
  </si>
  <si>
    <t>26° 25' 10.9865" N</t>
  </si>
  <si>
    <t>81° 33' 48.04986" W</t>
  </si>
  <si>
    <t>1050'FNL&amp;330'FEL</t>
  </si>
  <si>
    <t>2250 FNL 1920 FEL</t>
  </si>
  <si>
    <t>20" 224'</t>
  </si>
  <si>
    <t>13-3/8" 1438'</t>
  </si>
  <si>
    <t>9-5/8" 3820'</t>
  </si>
  <si>
    <t>11601-11856</t>
  </si>
  <si>
    <t>11300-11600 3682-3907 1336-1575 20-120</t>
  </si>
  <si>
    <t>0902120145</t>
  </si>
  <si>
    <t>OG_1031</t>
  </si>
  <si>
    <t>BREITBURN FLORIDA LLC</t>
  </si>
  <si>
    <t>OLEUM CORP #34-2</t>
  </si>
  <si>
    <t>DISFL BHCS DIR</t>
  </si>
  <si>
    <t>2S33 51S 34E</t>
  </si>
  <si>
    <t>25° 58' 57.32492" N</t>
  </si>
  <si>
    <t>80° 55' 29.04625" W</t>
  </si>
  <si>
    <t>1050'FSL&amp;1063'FEL of Sec 33</t>
  </si>
  <si>
    <t>2118 FNL 650 FWL (of Sec 34)</t>
  </si>
  <si>
    <t>13-3/8" 1503'</t>
  </si>
  <si>
    <t>9-5/8" 4006'</t>
  </si>
  <si>
    <t>7" 12024'</t>
  </si>
  <si>
    <t>2-7/8" 12084'</t>
  </si>
  <si>
    <t>12029-12090</t>
  </si>
  <si>
    <t>849 BOPD</t>
  </si>
  <si>
    <t>166 BSWPD</t>
  </si>
  <si>
    <t>12070-12075</t>
  </si>
  <si>
    <t>11568-12095,3902-3695,1313-2297,911-1014,584-667,232-432,0-119</t>
  </si>
  <si>
    <t>0902120146</t>
  </si>
  <si>
    <t>OG_1032</t>
  </si>
  <si>
    <t>MARTIN</t>
  </si>
  <si>
    <t>KANABA OIL &amp; GAS CORP (CALLON)</t>
  </si>
  <si>
    <t>ALLAPATTAH PROPERTIES #21-1</t>
  </si>
  <si>
    <t>DISFL BHCS CNFD</t>
  </si>
  <si>
    <t>1S21 38S 39E</t>
  </si>
  <si>
    <t>27° 9' 31.95767" N</t>
  </si>
  <si>
    <t>80° 26' 12.43046" W</t>
  </si>
  <si>
    <t>1310'FNL&amp;1321'FEL</t>
  </si>
  <si>
    <t>20" 160'</t>
  </si>
  <si>
    <t>13-3/8" 1317'</t>
  </si>
  <si>
    <t>9-5/8" 3991'</t>
  </si>
  <si>
    <t>9622-9677</t>
  </si>
  <si>
    <t>3861-4061 1183-1428 20-150</t>
  </si>
  <si>
    <t>0908520001</t>
  </si>
  <si>
    <t>OG_1033</t>
  </si>
  <si>
    <t>MADISON</t>
  </si>
  <si>
    <t>GILMAN PAPER CO #22-2</t>
  </si>
  <si>
    <t>DISFL BHCS CNFD ML TEMP SEIS MICROLOG INDLAT</t>
  </si>
  <si>
    <t>2S22 2S 9E</t>
  </si>
  <si>
    <t>30° 18' 1.55005" N</t>
  </si>
  <si>
    <t>83° 24' 47.60014" W</t>
  </si>
  <si>
    <t>1340'FNL&amp;1532'FWL</t>
  </si>
  <si>
    <t>20" 145'</t>
  </si>
  <si>
    <t>13-3/8" 2115'</t>
  </si>
  <si>
    <t>1890-2315,500-900,27-52</t>
  </si>
  <si>
    <t>0907920001</t>
  </si>
  <si>
    <t>OG_1034</t>
  </si>
  <si>
    <t>26° 14' 9.99049" N</t>
  </si>
  <si>
    <t>81° 13' 32.61945" W</t>
  </si>
  <si>
    <t>1183'FNL&amp;1696'FEL</t>
  </si>
  <si>
    <t>20" 227'</t>
  </si>
  <si>
    <t>13-3/8" 1530'</t>
  </si>
  <si>
    <t>9-5/8" 3960'</t>
  </si>
  <si>
    <t>11510-11554</t>
  </si>
  <si>
    <t>11735-11803</t>
  </si>
  <si>
    <t>O BSWPD</t>
  </si>
  <si>
    <t>11217-11727 3758-4119 1842-2004 1339-1753 25-150</t>
  </si>
  <si>
    <t>0902120148</t>
  </si>
  <si>
    <t>OG_1035</t>
  </si>
  <si>
    <t>GERRY BROTHERS #10-3</t>
  </si>
  <si>
    <t>3S10 49S 31E</t>
  </si>
  <si>
    <t>26° 13' 42.60994" N</t>
  </si>
  <si>
    <t>81° 12' 59.04964" W</t>
  </si>
  <si>
    <t>1332'FSL&amp;1320'FWL</t>
  </si>
  <si>
    <t>0902120149</t>
  </si>
  <si>
    <t>OG_1036</t>
  </si>
  <si>
    <t>GERRY BROTHERS #27-3</t>
  </si>
  <si>
    <t>3S27 49S 31E</t>
  </si>
  <si>
    <t>26° 11' 2.58295" N</t>
  </si>
  <si>
    <t>81° 12' 55.67976" W</t>
  </si>
  <si>
    <t>1278'FSL&amp;1461'FWL</t>
  </si>
  <si>
    <t>0902120150</t>
  </si>
  <si>
    <t>OG_1037</t>
  </si>
  <si>
    <t>GERRY BROTHERS #27-4</t>
  </si>
  <si>
    <t>DISFL BHCS INDSFL PDC DIP CSGCOL ML</t>
  </si>
  <si>
    <t>4S27 49S 31E</t>
  </si>
  <si>
    <t>26° 11' 4.42537" N</t>
  </si>
  <si>
    <t>81° 12' 32.43003" W</t>
  </si>
  <si>
    <t>1140'FSL&amp;1612'FEL</t>
  </si>
  <si>
    <t>20" 209'</t>
  </si>
  <si>
    <t>13-3/8" 1510'</t>
  </si>
  <si>
    <t>9-5/8" 3954'</t>
  </si>
  <si>
    <t>5-1/2" 11850'</t>
  </si>
  <si>
    <t>2-7/8" 11759'</t>
  </si>
  <si>
    <t>11528-11588</t>
  </si>
  <si>
    <t>11537-11866</t>
  </si>
  <si>
    <t>3 BOPD</t>
  </si>
  <si>
    <t>11749-11866</t>
  </si>
  <si>
    <t>11235-11635 3700-4050 1335-1970 24-170</t>
  </si>
  <si>
    <t>0902120168</t>
  </si>
  <si>
    <t>OG_1038</t>
  </si>
  <si>
    <t>STATE-HALF CIRCLE L #19-3</t>
  </si>
  <si>
    <t>DISFL BHCS INDSFL ML</t>
  </si>
  <si>
    <t>3S19 46S 31E</t>
  </si>
  <si>
    <t>26° 27' 34.35829" N</t>
  </si>
  <si>
    <t>81° 16' 1.68107" W</t>
  </si>
  <si>
    <t>13-3/8" 1515'</t>
  </si>
  <si>
    <t>9-5/8" 4025'</t>
  </si>
  <si>
    <t>11481-11553</t>
  </si>
  <si>
    <t>11281-11569 3925-4125 1350-1600 0-150</t>
  </si>
  <si>
    <t>0905120100</t>
  </si>
  <si>
    <t>OG_1039</t>
  </si>
  <si>
    <t>FORD-BREWSTER #7-2</t>
  </si>
  <si>
    <t>2S7 18S 34E</t>
  </si>
  <si>
    <t>28° 56' 46.91656" N</t>
  </si>
  <si>
    <t>80° 57' 58.18028" W</t>
  </si>
  <si>
    <t>1498'FNL&amp;1307'FWL</t>
  </si>
  <si>
    <t>0912720002</t>
  </si>
  <si>
    <t>OG_1040</t>
  </si>
  <si>
    <t>BCC #6-4</t>
  </si>
  <si>
    <t>4S6 4S 9E</t>
  </si>
  <si>
    <t>30° 9' 42.62656" N</t>
  </si>
  <si>
    <t>83° 27' 23.07071" W</t>
  </si>
  <si>
    <t>1323'FSL&amp;1000'FEL</t>
  </si>
  <si>
    <t>0912320006</t>
  </si>
  <si>
    <t>OG_1041</t>
  </si>
  <si>
    <t>SWF GULF COAST INC ETAL #34-3</t>
  </si>
  <si>
    <t>3S34 3S 12W</t>
  </si>
  <si>
    <t>30° 10' 40.40716" N</t>
  </si>
  <si>
    <t>85° 26' 8.30236" W</t>
  </si>
  <si>
    <t>1805'FSL&amp;1267'FWL</t>
  </si>
  <si>
    <t>0900520005</t>
  </si>
  <si>
    <t>OG_1042</t>
  </si>
  <si>
    <t>COLLIER CO #20-2</t>
  </si>
  <si>
    <t>DISFL CNFD DIR CALIPER</t>
  </si>
  <si>
    <t>26° 17' 29.52869" N</t>
  </si>
  <si>
    <t>81° 20' 51.87343" W</t>
  </si>
  <si>
    <t>1520'FNL&amp;1120'FWL</t>
  </si>
  <si>
    <t>24" 252'</t>
  </si>
  <si>
    <t>16" 1509'</t>
  </si>
  <si>
    <t>10-3/4" 4023'</t>
  </si>
  <si>
    <t>7-5/8" 12636'</t>
  </si>
  <si>
    <t>2-7/8" 9641'</t>
  </si>
  <si>
    <t>12788-16853</t>
  </si>
  <si>
    <t>2328 BSWPD</t>
  </si>
  <si>
    <t>11604-11611</t>
  </si>
  <si>
    <t>11115-11067,11035-10835,4125-3712,1925-550,200-4</t>
  </si>
  <si>
    <t>0902120169</t>
  </si>
  <si>
    <t>OG_1043</t>
  </si>
  <si>
    <t>TURNER CORP #23-2</t>
  </si>
  <si>
    <t>2S23 48S 29E</t>
  </si>
  <si>
    <t>26° 17' 28.93985" N</t>
  </si>
  <si>
    <t>81° 23' 44.83297" W</t>
  </si>
  <si>
    <t>1235'FNL&amp;1320'FWL</t>
  </si>
  <si>
    <t>0902120152</t>
  </si>
  <si>
    <t>OG_1044</t>
  </si>
  <si>
    <t>H A SINGLETARY #13-4</t>
  </si>
  <si>
    <t>DIFL BHCS CNLD-GR DIR</t>
  </si>
  <si>
    <t>4S13 4N 29W</t>
  </si>
  <si>
    <t>30° 51' 19.97946" N</t>
  </si>
  <si>
    <t>87° 5' 51.98262" W</t>
  </si>
  <si>
    <t>1990'FSL&amp;2235'FEL</t>
  </si>
  <si>
    <t>53'N &amp; 323'E OF SURF LOC</t>
  </si>
  <si>
    <t>9-5/8" 4048'</t>
  </si>
  <si>
    <t>7" 16049'</t>
  </si>
  <si>
    <t>3-1/2" 15705'</t>
  </si>
  <si>
    <t>15847-16061</t>
  </si>
  <si>
    <t>1331 BOPD</t>
  </si>
  <si>
    <t>978 MCFPD</t>
  </si>
  <si>
    <t>12 BSWPD</t>
  </si>
  <si>
    <t>15859-15910</t>
  </si>
  <si>
    <t>0-100, 1157-1793, 3750-4348, 6117-6307, 13365-13699, 15890-15902</t>
  </si>
  <si>
    <t>0911320193</t>
  </si>
  <si>
    <t>OG_1045</t>
  </si>
  <si>
    <t>FRANKS PETROLEUM INC</t>
  </si>
  <si>
    <t>DONALD BOUTWELL #7-2</t>
  </si>
  <si>
    <t>DIL-BHCS-CNL CBL CPL GRN CSGCOLPERF TRCR</t>
  </si>
  <si>
    <t>2S7 4N 28W</t>
  </si>
  <si>
    <t>30° 52' 31.11274" N</t>
  </si>
  <si>
    <t>87° 5' 5.13726" W</t>
  </si>
  <si>
    <t>1300'FNL&amp;1700'FWL</t>
  </si>
  <si>
    <t>16" 101'</t>
  </si>
  <si>
    <t>9-5/8" 3799'</t>
  </si>
  <si>
    <t>5-1/2" 15483'</t>
  </si>
  <si>
    <t>2-7/8" 15300'</t>
  </si>
  <si>
    <t>15039-15159</t>
  </si>
  <si>
    <t>15033-15160</t>
  </si>
  <si>
    <t>10 BSWPD</t>
  </si>
  <si>
    <t>15389-15409</t>
  </si>
  <si>
    <t>14734-15483 5300-5580 3750-3950 1100-1800 25-175</t>
  </si>
  <si>
    <t>0911320194</t>
  </si>
  <si>
    <t>OG_1046</t>
  </si>
  <si>
    <t>OLEUM CORP #5-3</t>
  </si>
  <si>
    <t>3S5 52S 31E</t>
  </si>
  <si>
    <t>25° 58' 6.75688" N</t>
  </si>
  <si>
    <t>81° 14' 31.49059" W</t>
  </si>
  <si>
    <t>1323'FSL&amp;1435'FWL</t>
  </si>
  <si>
    <t>0902120153</t>
  </si>
  <si>
    <t>OG_1047</t>
  </si>
  <si>
    <t>SWD SYSTEM #9 WELL #3</t>
  </si>
  <si>
    <t>SERVICE</t>
  </si>
  <si>
    <t>30° 57' 20.22283" N</t>
  </si>
  <si>
    <t>87° 10' 41.48937" W</t>
  </si>
  <si>
    <t>4-1/2" 6111'</t>
  </si>
  <si>
    <t>6400-6600</t>
  </si>
  <si>
    <t>0911320195</t>
  </si>
  <si>
    <t>P# 1021 (junked hole) was converted for this SWD well/EPA ID # FLS1130049/FLI0013</t>
  </si>
  <si>
    <t>OG_1048</t>
  </si>
  <si>
    <t>ALICO B #20-4</t>
  </si>
  <si>
    <t>DISFL BHCS CNFD DIP DIR</t>
  </si>
  <si>
    <t>4S20 44S 30E</t>
  </si>
  <si>
    <t>26° 38' 10.9549" N</t>
  </si>
  <si>
    <t>81° 20' 36.43217" W</t>
  </si>
  <si>
    <t>1297'FSL&amp;1295'FEL</t>
  </si>
  <si>
    <t>20" 245'</t>
  </si>
  <si>
    <t>13-3/8" 1550'</t>
  </si>
  <si>
    <t>9-5/8" 3777'</t>
  </si>
  <si>
    <t>11287-11377 11428-11488</t>
  </si>
  <si>
    <t>11008-11400 3563-3924 1390-1650 25-175</t>
  </si>
  <si>
    <t>0905120101</t>
  </si>
  <si>
    <t>OG_1049</t>
  </si>
  <si>
    <t>STAR PETROLEUM INC</t>
  </si>
  <si>
    <t>THERON HINGSON ETAL #4-2</t>
  </si>
  <si>
    <t>2S4 4S 12E</t>
  </si>
  <si>
    <t>30° 10' 7.77799" N</t>
  </si>
  <si>
    <t>83° 7' 35.12991" W</t>
  </si>
  <si>
    <t>1684'FNL&amp;1254'FWL</t>
  </si>
  <si>
    <t>0912120003</t>
  </si>
  <si>
    <t>OG_1050</t>
  </si>
  <si>
    <t>ALICO #35-4</t>
  </si>
  <si>
    <t>IND-N-D-S CNFD BHCS DISFL DIP</t>
  </si>
  <si>
    <t>4S35 45S 31E</t>
  </si>
  <si>
    <t>26° 31' 16.08239" N</t>
  </si>
  <si>
    <t>81° 11' 48.28526" W</t>
  </si>
  <si>
    <t>1019'FSL&amp;1614'FEL</t>
  </si>
  <si>
    <t>20" 203'</t>
  </si>
  <si>
    <t>13-3/8" 1555'</t>
  </si>
  <si>
    <t>9-5/8" 3882'</t>
  </si>
  <si>
    <t>3780-3980 1404-1698 4-150</t>
  </si>
  <si>
    <t>0905120102</t>
  </si>
  <si>
    <t>OG_1051</t>
  </si>
  <si>
    <t>GEORGIA PACIFIC ETAL #1</t>
  </si>
  <si>
    <t>1S14 11S 12E</t>
  </si>
  <si>
    <t>29° 31' 48.76629" N</t>
  </si>
  <si>
    <t>83° 5' 20.16139" W</t>
  </si>
  <si>
    <t>950'FNL&amp;1945'FEL</t>
  </si>
  <si>
    <t>0902920001</t>
  </si>
  <si>
    <t>OG_1052</t>
  </si>
  <si>
    <t>P C CRAPPS #1</t>
  </si>
  <si>
    <t>DIL BHCS CNLDN NGRS DIP TEMP ML</t>
  </si>
  <si>
    <t>4S33 6S 11E</t>
  </si>
  <si>
    <t>29° 54' 42.88371" N</t>
  </si>
  <si>
    <t>83° 13' 23.58224" W</t>
  </si>
  <si>
    <t>640'FSL&amp;1200'FEL</t>
  </si>
  <si>
    <t>30" 115'</t>
  </si>
  <si>
    <t>20" 372'</t>
  </si>
  <si>
    <t>13-3/8" 2110'</t>
  </si>
  <si>
    <t>1860-2310 6-930</t>
  </si>
  <si>
    <t>0906720004</t>
  </si>
  <si>
    <t>OG_1053</t>
  </si>
  <si>
    <t>RED CATTLE #35-2</t>
  </si>
  <si>
    <t>DIL BHCS CNLDN DIP COMPUTER PROCESSED</t>
  </si>
  <si>
    <t>2S35 45S 28E</t>
  </si>
  <si>
    <t>26° 31' 27.91669" N</t>
  </si>
  <si>
    <t>81° 29' 40.53829" W</t>
  </si>
  <si>
    <t>1360'FNL&amp;1323'FWL</t>
  </si>
  <si>
    <t>20" 204'</t>
  </si>
  <si>
    <t>13-3/8" 1472'</t>
  </si>
  <si>
    <t>11454-11528</t>
  </si>
  <si>
    <t>11013-11416 3666-3930 1400-1655</t>
  </si>
  <si>
    <t>0905120103</t>
  </si>
  <si>
    <t>OG_1054</t>
  </si>
  <si>
    <t>JOHN W CANNON #40-10</t>
  </si>
  <si>
    <t>DIL BHCS CNLDN DIELECTRIC DIR</t>
  </si>
  <si>
    <t>30° 57' 35.10219" N</t>
  </si>
  <si>
    <t>87° 8' 28.34985" W</t>
  </si>
  <si>
    <t>2552 FSL 4462 E of EL ofSec 10</t>
  </si>
  <si>
    <t>9-5/8" 3989'</t>
  </si>
  <si>
    <t>7" 15794'</t>
  </si>
  <si>
    <t>3-1/2" 15389'</t>
  </si>
  <si>
    <t>15560-15834</t>
  </si>
  <si>
    <t>1266BOPD</t>
  </si>
  <si>
    <t>1761MCFPD</t>
  </si>
  <si>
    <t>1066BSWPD</t>
  </si>
  <si>
    <t>15649-15748</t>
  </si>
  <si>
    <t>0911320196</t>
  </si>
  <si>
    <t>EPA ID # FLS1130078/FLI 0050</t>
  </si>
  <si>
    <t>OG_1055</t>
  </si>
  <si>
    <t>ROLAND C FLOYD #6-3</t>
  </si>
  <si>
    <t>3S6 4N 28W</t>
  </si>
  <si>
    <t>30° 52' 51.64918" N</t>
  </si>
  <si>
    <t>87° 5' 15.86944" W</t>
  </si>
  <si>
    <t>790'FSL&amp;715'FWL</t>
  </si>
  <si>
    <t>0911320197</t>
  </si>
  <si>
    <t>OG_1056</t>
  </si>
  <si>
    <t>ALICO D #31-4</t>
  </si>
  <si>
    <t>CNL CCL</t>
  </si>
  <si>
    <t>4S31 46S 28E</t>
  </si>
  <si>
    <t>1495'FNL&amp;2290'FWL</t>
  </si>
  <si>
    <t>1320 FSL 1320 FEL</t>
  </si>
  <si>
    <t>9-5/8" 3904'</t>
  </si>
  <si>
    <t>4" 12241'</t>
  </si>
  <si>
    <t>2-3/8" 12190</t>
  </si>
  <si>
    <t>12317-12387 12570-12623</t>
  </si>
  <si>
    <t>696 BSWPD</t>
  </si>
  <si>
    <t>12218-12222</t>
  </si>
  <si>
    <t>12075-12215 7939-8139 3738-4009 1129-1379 21-171</t>
  </si>
  <si>
    <t>0902120154</t>
  </si>
  <si>
    <t>P# 1001 wellbore used for this kick off</t>
  </si>
  <si>
    <t>OG_1057</t>
  </si>
  <si>
    <t>COLLIER #18-3</t>
  </si>
  <si>
    <t>DIL BHCS CNLDN DIP PDC DIR</t>
  </si>
  <si>
    <t>3S18 46S 30E</t>
  </si>
  <si>
    <t>26° 28' 30.05948" N</t>
  </si>
  <si>
    <t>81° 21' 56.84446" W</t>
  </si>
  <si>
    <t>1587'FSL&amp;1302'FWL</t>
  </si>
  <si>
    <t>20" 220'</t>
  </si>
  <si>
    <t>13-3/8 1546'</t>
  </si>
  <si>
    <t>9-5/8" 3853'</t>
  </si>
  <si>
    <t>11484-11574</t>
  </si>
  <si>
    <t>11083-11483 3610-3810 1396-1646 20-170</t>
  </si>
  <si>
    <t>0902120155</t>
  </si>
  <si>
    <t>OG_1058</t>
  </si>
  <si>
    <t>TURNER CORP #6-3</t>
  </si>
  <si>
    <t>3S6 45S 28E</t>
  </si>
  <si>
    <t>26° 35' 20.85226" N</t>
  </si>
  <si>
    <t>81° 33' 37.35813" W</t>
  </si>
  <si>
    <t>1111'FSL&amp;1365'FWL</t>
  </si>
  <si>
    <t>20" 251'</t>
  </si>
  <si>
    <t>13-3/8" 1547'</t>
  </si>
  <si>
    <t>9-5/8" 3603'</t>
  </si>
  <si>
    <t>11450-11451 11456-11517</t>
  </si>
  <si>
    <t>11286-11567 3417-3626 1372-1672 10-175</t>
  </si>
  <si>
    <t>0905120104</t>
  </si>
  <si>
    <t>OG_1059</t>
  </si>
  <si>
    <t>OLEUM CORP #3-4</t>
  </si>
  <si>
    <t>4S3 50S 32E</t>
  </si>
  <si>
    <t>26° 8' 43.89536" N</t>
  </si>
  <si>
    <t>81° 6' 32.41063" W</t>
  </si>
  <si>
    <t>1620'FSL&amp;1320'FEL</t>
  </si>
  <si>
    <t>20" 252'</t>
  </si>
  <si>
    <t>13-3/8" 1560'</t>
  </si>
  <si>
    <t>9-5/8" 3670'</t>
  </si>
  <si>
    <t>7" 11483'</t>
  </si>
  <si>
    <t>11499-11549</t>
  </si>
  <si>
    <t>11258-12014 5850-6100 3531-3810 1385-1660 25-175</t>
  </si>
  <si>
    <t>0902120156</t>
  </si>
  <si>
    <t>OG_1060</t>
  </si>
  <si>
    <t>COLLIER CO #2-8</t>
  </si>
  <si>
    <t>DIL BHCS CNLDN DIR CYBERLOOK</t>
  </si>
  <si>
    <t>26° 13' 52.42981" N</t>
  </si>
  <si>
    <t>81° 17' 17.02647" W</t>
  </si>
  <si>
    <t>1040'FSL&amp;1412'FEL</t>
  </si>
  <si>
    <t>1850 FSL 1380 FEL</t>
  </si>
  <si>
    <t>20" 248'</t>
  </si>
  <si>
    <t>13-3/8" 1825'</t>
  </si>
  <si>
    <t>7" 11725'</t>
  </si>
  <si>
    <t>2-7/8" 8000'</t>
  </si>
  <si>
    <t>11687-11752</t>
  </si>
  <si>
    <t>YES SEE COMMENTS</t>
  </si>
  <si>
    <t>144 BOPD</t>
  </si>
  <si>
    <t>0MCFPD</t>
  </si>
  <si>
    <t>153 BSWPD</t>
  </si>
  <si>
    <t>11676-11689 11691-11703</t>
  </si>
  <si>
    <t>11306-11725,3737-3917,1670-2211,1638-1663,1122-1225,697-800,200-407,0-115</t>
  </si>
  <si>
    <t>0902120157</t>
  </si>
  <si>
    <t>OG_1061</t>
  </si>
  <si>
    <t>OLEUM CORP #34-3</t>
  </si>
  <si>
    <t>DIL BHCS TEMP DIR</t>
  </si>
  <si>
    <t>25° 58' 57.26459" N</t>
  </si>
  <si>
    <t>80° 55' 27.60399" W</t>
  </si>
  <si>
    <t>1030'FSL&amp;814'FEL of Sec 33</t>
  </si>
  <si>
    <t>1318 FSL 1333 FWL S34</t>
  </si>
  <si>
    <t>13-3/8" 2185'</t>
  </si>
  <si>
    <t>9-5/8" 3994'</t>
  </si>
  <si>
    <t>7" 11980'</t>
  </si>
  <si>
    <t>2-7/8" 9530'</t>
  </si>
  <si>
    <t>?</t>
  </si>
  <si>
    <t>11863-11922</t>
  </si>
  <si>
    <t>74 BOPD</t>
  </si>
  <si>
    <t>145 BSWPD</t>
  </si>
  <si>
    <t>11866-11886</t>
  </si>
  <si>
    <t>11287-11871,3608-4100,2004-2359,1405-1470,917-998,698-779,239-430,4-105</t>
  </si>
  <si>
    <t>0902120158</t>
  </si>
  <si>
    <t>OG_1062</t>
  </si>
  <si>
    <t>OLEUM CORP #5-6</t>
  </si>
  <si>
    <t>3S5 50S 33E</t>
  </si>
  <si>
    <t>26° 8' 59.73647" N</t>
  </si>
  <si>
    <t>81° 3' 6.84691" W</t>
  </si>
  <si>
    <t>3380'FSL&amp;1320'FWL</t>
  </si>
  <si>
    <t>0902120159</t>
  </si>
  <si>
    <t>P# 872 (N/D) originally permitted here</t>
  </si>
  <si>
    <t>OG_1063</t>
  </si>
  <si>
    <t>OLEUM CORP #20-3</t>
  </si>
  <si>
    <t>DIL BHCS CNLDN DIP ML CPL CFD</t>
  </si>
  <si>
    <t>3S20 50S 33E</t>
  </si>
  <si>
    <t>26° 6' 4.70131" N</t>
  </si>
  <si>
    <t>81° 2' 46.12521" W</t>
  </si>
  <si>
    <t>1440'FSL&amp;2287'FWL</t>
  </si>
  <si>
    <t>13-3/8" 1570'</t>
  </si>
  <si>
    <t>9-5/8" 3813'</t>
  </si>
  <si>
    <t>11454-11509</t>
  </si>
  <si>
    <t>YES 11430-11460</t>
  </si>
  <si>
    <t>2912 BSWPD</t>
  </si>
  <si>
    <t>11300-11500 3620-3920 1369-1669 23-173</t>
  </si>
  <si>
    <t>0902120160</t>
  </si>
  <si>
    <t>OG_1064</t>
  </si>
  <si>
    <t>COLLIER CO #2-9</t>
  </si>
  <si>
    <t>26° 14' 50.388" N</t>
  </si>
  <si>
    <t>81° 18' 18.8244" W</t>
  </si>
  <si>
    <t>1923'FNL&amp;1557'FEL of Sec 3</t>
  </si>
  <si>
    <t>875 FNL 180 FEL of Sec 2</t>
  </si>
  <si>
    <t>13-3/8" 1986'</t>
  </si>
  <si>
    <t>7" 12003'</t>
  </si>
  <si>
    <t>2-7/8" 1936'</t>
  </si>
  <si>
    <t>11955-12001</t>
  </si>
  <si>
    <t>210BOPD</t>
  </si>
  <si>
    <t>11968-11993</t>
  </si>
  <si>
    <t>0902120164</t>
  </si>
  <si>
    <t>OG_1065</t>
  </si>
  <si>
    <t>DIL CNLDN TEMP CYBERLOOK</t>
  </si>
  <si>
    <t>26° 9' 49.71881" N</t>
  </si>
  <si>
    <t>81° 10' 7.81774" W</t>
  </si>
  <si>
    <t>1320'FNL&amp; 607'FWL</t>
  </si>
  <si>
    <t>20" 249'</t>
  </si>
  <si>
    <t>13-3/8" 1553'</t>
  </si>
  <si>
    <t>9-5/8" 3692'</t>
  </si>
  <si>
    <t>11508-11584</t>
  </si>
  <si>
    <t>11350-11600 3281-3821 1389-1840 950-1175 31-175</t>
  </si>
  <si>
    <t>0902120162</t>
  </si>
  <si>
    <t>OG_1066</t>
  </si>
  <si>
    <t>OLEUM CORP ETAL #1-1</t>
  </si>
  <si>
    <t>1S1 50S 31E</t>
  </si>
  <si>
    <t>26° 9' 48.78868" N</t>
  </si>
  <si>
    <t>81° 10' 7.75787" W</t>
  </si>
  <si>
    <t>1414'FNL&amp;684'FWL of Sec 6-T50S-R32E</t>
  </si>
  <si>
    <t>1283 FNL 1160 FEL (1-50S-31E)</t>
  </si>
  <si>
    <t>OG_1067</t>
  </si>
  <si>
    <t>OLEUM CORP #3-3</t>
  </si>
  <si>
    <t>3S3 51S 33E</t>
  </si>
  <si>
    <t>26° 3' 18.7528" N</t>
  </si>
  <si>
    <t>81° 1' 2.29012" W</t>
  </si>
  <si>
    <t>877'FSL&amp;705'FWL</t>
  </si>
  <si>
    <t>OG_1068</t>
  </si>
  <si>
    <t>ALICO (SANCEE) #17-4</t>
  </si>
  <si>
    <t>DIL BHCS CNLD DIP DIR ML CPL</t>
  </si>
  <si>
    <t>4S17 46S 26E</t>
  </si>
  <si>
    <t>26° 28' 5.16094" N</t>
  </si>
  <si>
    <t>81° 43' 43.61298" W</t>
  </si>
  <si>
    <t>1414'FSL&amp;1321'FEL</t>
  </si>
  <si>
    <t>30" 97'</t>
  </si>
  <si>
    <t>20" 520'</t>
  </si>
  <si>
    <t>9-5/8" 3840</t>
  </si>
  <si>
    <t>11611-11701 11832-11903</t>
  </si>
  <si>
    <t>11840-11918</t>
  </si>
  <si>
    <t>11319-11669 3685-3874 1360-1625</t>
  </si>
  <si>
    <t>0907120084</t>
  </si>
  <si>
    <t>OG_1069</t>
  </si>
  <si>
    <t>JOHN S PITTMAN #16-2</t>
  </si>
  <si>
    <t>DIL BHCS DIR ML DPR</t>
  </si>
  <si>
    <t>4S16 5N 29W</t>
  </si>
  <si>
    <t>30° 56' 30.32297" N</t>
  </si>
  <si>
    <t>87° 6' 32.3306" W</t>
  </si>
  <si>
    <t>1549'FSL&amp;1101'FEL</t>
  </si>
  <si>
    <t>100'</t>
  </si>
  <si>
    <t>9-5/8" 3834'</t>
  </si>
  <si>
    <t>3643-3843 1256-1508 25-120</t>
  </si>
  <si>
    <t>0911320198</t>
  </si>
  <si>
    <t>OG_1070</t>
  </si>
  <si>
    <t>TOWNSEND CANAL</t>
  </si>
  <si>
    <t>DUDA #2-3</t>
  </si>
  <si>
    <t>DIL BHCS CNLDN DIP PDC CC CALIPER DIR</t>
  </si>
  <si>
    <t>3S2 45S 28E</t>
  </si>
  <si>
    <t>26° 35' 22.92269" N</t>
  </si>
  <si>
    <t>81° 29' 46.22992" W</t>
  </si>
  <si>
    <t>1369'FSL&amp;1318'FWL</t>
  </si>
  <si>
    <t>13-3/8" 1536'</t>
  </si>
  <si>
    <t>9-5/8" 3831'</t>
  </si>
  <si>
    <t>5-1/2" 11462'</t>
  </si>
  <si>
    <t>2-7/8" 11401'</t>
  </si>
  <si>
    <t>11370-11462</t>
  </si>
  <si>
    <t>160 BOPD</t>
  </si>
  <si>
    <t>42 BSWPD</t>
  </si>
  <si>
    <t>11416-11421</t>
  </si>
  <si>
    <t>1444-10812,3782-3218,1964-1895,1692-1569,1545-1332</t>
  </si>
  <si>
    <t>0905120105</t>
  </si>
  <si>
    <t>Townsend Canal Field discovery well</t>
  </si>
  <si>
    <t>OG_1071</t>
  </si>
  <si>
    <t>26° 11' 43.43712" N</t>
  </si>
  <si>
    <t>81° 17' 13.12098" W</t>
  </si>
  <si>
    <t>1428'FNL&amp;1390'FEL</t>
  </si>
  <si>
    <t>1325 FSL 1285 FEL</t>
  </si>
  <si>
    <t>OG_1072</t>
  </si>
  <si>
    <t>GERRY BROTHERS #26-3</t>
  </si>
  <si>
    <t>3S26 49S 31E</t>
  </si>
  <si>
    <t>26° 11' 1.97358" N</t>
  </si>
  <si>
    <t>81° 12' 32.18692" W</t>
  </si>
  <si>
    <t>1140'FSL&amp;1612'FEL of Sec 27</t>
  </si>
  <si>
    <t>1320'FSL&amp;2637'FWL of Sec26</t>
  </si>
  <si>
    <t>OG_1073</t>
  </si>
  <si>
    <t>J B JOHNSTON JR #19-7</t>
  </si>
  <si>
    <t>30° 56' 53.85819" N</t>
  </si>
  <si>
    <t>87° 9' 41.84704" W</t>
  </si>
  <si>
    <t>1802'FNL&amp;1878'FEL</t>
  </si>
  <si>
    <t>811 FNL 1871 FEL</t>
  </si>
  <si>
    <t>7" 15942</t>
  </si>
  <si>
    <t>3-1/2" 15670</t>
  </si>
  <si>
    <t>15688-15722 15726-15890</t>
  </si>
  <si>
    <t>597 BOPD</t>
  </si>
  <si>
    <t>1044 MCFPD</t>
  </si>
  <si>
    <t>24 BSWPD</t>
  </si>
  <si>
    <t>15696-15826</t>
  </si>
  <si>
    <t>0911320200</t>
  </si>
  <si>
    <t>OG_1074</t>
  </si>
  <si>
    <t>MIDROC OPERATING CO</t>
  </si>
  <si>
    <t>BRYAN #33-1</t>
  </si>
  <si>
    <t>DIL-SONIC CNLD BHCS SEISMICVEL DIR ML CYBERL DIP</t>
  </si>
  <si>
    <t>1S33 6N 31W</t>
  </si>
  <si>
    <t>30° 59' 45.70126" N</t>
  </si>
  <si>
    <t>87° 20' 19.21778" W</t>
  </si>
  <si>
    <t>755'FNL&amp;1274'FEL</t>
  </si>
  <si>
    <t>20" 102'</t>
  </si>
  <si>
    <t>9-5/8" 3877'</t>
  </si>
  <si>
    <t>15899-15921</t>
  </si>
  <si>
    <t>15400-16345 3677-4077 1450-1750 27-37</t>
  </si>
  <si>
    <t>0903320038</t>
  </si>
  <si>
    <t>OG_1075</t>
  </si>
  <si>
    <t>RICHLAND EXPLORATION CO INC</t>
  </si>
  <si>
    <t>GRIFFIS UNIT #28-2</t>
  </si>
  <si>
    <t>2S28 6N 29W</t>
  </si>
  <si>
    <t>30° 59' 45.47209" N</t>
  </si>
  <si>
    <t>87° 8' 2.45239" W</t>
  </si>
  <si>
    <t>100'FSL&amp;1143'FWL</t>
  </si>
  <si>
    <t>OG_1076</t>
  </si>
  <si>
    <t>WOODROW BUTLER #41-6</t>
  </si>
  <si>
    <t>DIL BHCS CNLD DIR</t>
  </si>
  <si>
    <t>3S41 5N 29W</t>
  </si>
  <si>
    <t>30° 56' 49.249" N</t>
  </si>
  <si>
    <t>87° 9' 5.7043" W</t>
  </si>
  <si>
    <t>2173'FNL&amp;1283'FWL</t>
  </si>
  <si>
    <t>2830 FSL 900 FWL</t>
  </si>
  <si>
    <t>10-3/4" 3901'</t>
  </si>
  <si>
    <t>7" 15909'</t>
  </si>
  <si>
    <t>3-1/2" 15642'</t>
  </si>
  <si>
    <t>15653-15893</t>
  </si>
  <si>
    <t>1040 BOPD</t>
  </si>
  <si>
    <t>1300 MCFPD</t>
  </si>
  <si>
    <t>285 BSWPD</t>
  </si>
  <si>
    <t>15680-15816</t>
  </si>
  <si>
    <t>13875-15602, 5806-6265, 3627-4048,1056-1456,10-110</t>
  </si>
  <si>
    <t>0911320201</t>
  </si>
  <si>
    <t>OG_1077</t>
  </si>
  <si>
    <t>ALICO (ABRAHAM) #5-4</t>
  </si>
  <si>
    <t>DIL CNLD</t>
  </si>
  <si>
    <t>4S5 46S 28E</t>
  </si>
  <si>
    <t>26° 30' 8.99957" N</t>
  </si>
  <si>
    <t>81° 32' 0.79278" W</t>
  </si>
  <si>
    <t>1325'FSL&amp;920'FEL</t>
  </si>
  <si>
    <t>20" 233'</t>
  </si>
  <si>
    <t>13-3/8" 1512'</t>
  </si>
  <si>
    <t>9-5/8" 3863'</t>
  </si>
  <si>
    <t>11488-11575</t>
  </si>
  <si>
    <t>11140-11573 3693-4063 1763-1872 1391-1691 154-260</t>
  </si>
  <si>
    <t>0902120161</t>
  </si>
  <si>
    <t>OG_1078</t>
  </si>
  <si>
    <t>JAY/LEC UNIT SWD SYSTEM #9 WELL #5</t>
  </si>
  <si>
    <t>30° 57' 25.68953" N</t>
  </si>
  <si>
    <t>87° 11' 4.66058" W</t>
  </si>
  <si>
    <t>1087'FSL&amp;1671'FWL</t>
  </si>
  <si>
    <t>10-3/4" 2324'</t>
  </si>
  <si>
    <t>7" 6786'</t>
  </si>
  <si>
    <t>4-1/2" 6230'</t>
  </si>
  <si>
    <t>6270-6570</t>
  </si>
  <si>
    <t>6375-6612</t>
  </si>
  <si>
    <t>0911320199</t>
  </si>
  <si>
    <t>EPA ID # FLS1130043/FLI0014</t>
  </si>
  <si>
    <t>OG_1079</t>
  </si>
  <si>
    <t>GAS TRANSPORTATION CORP</t>
  </si>
  <si>
    <t>H W HENDRICKS #2-1</t>
  </si>
  <si>
    <t>DIL CNLDN ML DIR</t>
  </si>
  <si>
    <t>3S2 5N 29W</t>
  </si>
  <si>
    <t>30° 58' 11.9951" N</t>
  </si>
  <si>
    <t>87° 7' 15.92245" W</t>
  </si>
  <si>
    <t>1222'FSL&amp;220'FWL</t>
  </si>
  <si>
    <t>9-5/8" 3788'</t>
  </si>
  <si>
    <t>See Followup</t>
  </si>
  <si>
    <t>14630-15430 3638-3938 1075-1875 24-124</t>
  </si>
  <si>
    <t>0911320202</t>
  </si>
  <si>
    <t>OG_1080</t>
  </si>
  <si>
    <t>SRPC # 13-S</t>
  </si>
  <si>
    <t>30° 51' 13.93052" N</t>
  </si>
  <si>
    <t>87° 6' 11.58662" W</t>
  </si>
  <si>
    <t>1364'FSL&amp;1355'FWL</t>
  </si>
  <si>
    <t>9-5/8" 3866'</t>
  </si>
  <si>
    <t>7" 16162'</t>
  </si>
  <si>
    <t>3-1/2" 15659'</t>
  </si>
  <si>
    <t>16079-16163</t>
  </si>
  <si>
    <t>984 BOPD</t>
  </si>
  <si>
    <t>302 MCFPD</t>
  </si>
  <si>
    <t>16100-16109</t>
  </si>
  <si>
    <t>0-100, 1208-1648, 3063-3490, 3490-4165, 6085-6305, 13066-14477, 14477-15575</t>
  </si>
  <si>
    <t>0911320203</t>
  </si>
  <si>
    <t>OG_1081</t>
  </si>
  <si>
    <t>DUDA (EVERGREEN) #7-2</t>
  </si>
  <si>
    <t>DIL BHCS CNLDN DIP CYBERLOOK</t>
  </si>
  <si>
    <t>2S7 45S 29E</t>
  </si>
  <si>
    <t>26° 35' 1.02238" N</t>
  </si>
  <si>
    <t>81° 27' 50.58546" W</t>
  </si>
  <si>
    <t>1183'FNL&amp;1189'FWL</t>
  </si>
  <si>
    <t>20" 236'</t>
  </si>
  <si>
    <t>13-3/8" 1548'</t>
  </si>
  <si>
    <t>9-5/8" 3835'</t>
  </si>
  <si>
    <t>11385-11488</t>
  </si>
  <si>
    <t>11085-11460 3676-3956</t>
  </si>
  <si>
    <t>0905120106</t>
  </si>
  <si>
    <t>Rentered and is P# 1116</t>
  </si>
  <si>
    <t>OG_1082</t>
  </si>
  <si>
    <t>OLEUM CORP #34-4</t>
  </si>
  <si>
    <t>DIL CNLDN BHCS DIR</t>
  </si>
  <si>
    <t>4S2 52S 34E</t>
  </si>
  <si>
    <t>25° 58' 41.00007" N</t>
  </si>
  <si>
    <t>80° 54' 12.96971" W</t>
  </si>
  <si>
    <t>574'FNL&amp;689'FWL</t>
  </si>
  <si>
    <t>1322 FSL 1333 FEL</t>
  </si>
  <si>
    <t>20" 266'</t>
  </si>
  <si>
    <t>13-3/8" 2183'</t>
  </si>
  <si>
    <t>7" 12199'</t>
  </si>
  <si>
    <t>2-7/8" 7030'</t>
  </si>
  <si>
    <t>13 BSWPD</t>
  </si>
  <si>
    <t>12218-12229</t>
  </si>
  <si>
    <t>12295-11647</t>
  </si>
  <si>
    <t>0902120174</t>
  </si>
  <si>
    <t>1082AH</t>
  </si>
  <si>
    <t>OLEUM CORP #34-4A</t>
  </si>
  <si>
    <t>CBL LITH CALIPER DIR DEN</t>
  </si>
  <si>
    <t>25° 58' 41.22" N</t>
  </si>
  <si>
    <t>80° 54' 13.08" W</t>
  </si>
  <si>
    <t>2162FEL&amp;3382FSL Sec 34</t>
  </si>
  <si>
    <t>7" 11446'</t>
  </si>
  <si>
    <t>2-7/8" 11040'</t>
  </si>
  <si>
    <t>1298BOPD</t>
  </si>
  <si>
    <t>129MCFPD</t>
  </si>
  <si>
    <t>738BSWPD</t>
  </si>
  <si>
    <t>OH HZ 12678-14216 MD</t>
  </si>
  <si>
    <t>0902120174-01</t>
  </si>
  <si>
    <t>OG_1083</t>
  </si>
  <si>
    <t>COLLIER CO #27-2</t>
  </si>
  <si>
    <t>2S27 47S 29E</t>
  </si>
  <si>
    <t>26° 21' 56.70414" N</t>
  </si>
  <si>
    <t>81° 24' 55.65635" W</t>
  </si>
  <si>
    <t>700'FNL&amp;250'FWL</t>
  </si>
  <si>
    <t>Not drilled</t>
  </si>
  <si>
    <t>OG_1084</t>
  </si>
  <si>
    <t>CLAYTON W WILLIAMS JR</t>
  </si>
  <si>
    <t>CDC ETAL #9-2</t>
  </si>
  <si>
    <t>2S9 47S 29E</t>
  </si>
  <si>
    <t>26° 24' 28.73851" N</t>
  </si>
  <si>
    <t>81° 25' 46.3552" W</t>
  </si>
  <si>
    <t>1033'FNL&amp;1305'FWL</t>
  </si>
  <si>
    <t>OG_1085</t>
  </si>
  <si>
    <t>CL&amp;CC ETAL #27-1</t>
  </si>
  <si>
    <t>1S27 46S 31E</t>
  </si>
  <si>
    <t>26° 28' 57.86026" N</t>
  </si>
  <si>
    <t>81° 12' 44.2201" W</t>
  </si>
  <si>
    <t>1554'FNL&amp;1548'FEL</t>
  </si>
  <si>
    <t>13-3/8" 2020'</t>
  </si>
  <si>
    <t>9-5/8" 4038'</t>
  </si>
  <si>
    <t>YES (NO INTERVALS)</t>
  </si>
  <si>
    <t>11050-11450 3895-4115 1873-2108 22-172</t>
  </si>
  <si>
    <t>0905120108</t>
  </si>
  <si>
    <t>OG_1086</t>
  </si>
  <si>
    <t>HUGHES EASTERN CORP</t>
  </si>
  <si>
    <t>OLEUM CORP #10-2</t>
  </si>
  <si>
    <t>DIL BHCS ML</t>
  </si>
  <si>
    <t>2S10 53S 34E</t>
  </si>
  <si>
    <t>25° 52' 26.73514" N</t>
  </si>
  <si>
    <t>80° 54' 58.31383" W</t>
  </si>
  <si>
    <t>1382'FNL&amp;1567'FWL</t>
  </si>
  <si>
    <t>20" 222'</t>
  </si>
  <si>
    <t>13-3/8" 2065'</t>
  </si>
  <si>
    <t>9-5/8" 4062'</t>
  </si>
  <si>
    <t>11397-11520</t>
  </si>
  <si>
    <t>11347-11547 3879-4129 1900-2150 25-175</t>
  </si>
  <si>
    <t>0902120186</t>
  </si>
  <si>
    <t>OG_1087</t>
  </si>
  <si>
    <t>DENIED</t>
  </si>
  <si>
    <t>4S14 52S 33E</t>
  </si>
  <si>
    <t>25° 56' 27.70426" N</t>
  </si>
  <si>
    <t>80° 59' 23.39524" W</t>
  </si>
  <si>
    <t>1575'FSL&amp;1208'FEL</t>
  </si>
  <si>
    <t>Denied</t>
  </si>
  <si>
    <t>OG_1088</t>
  </si>
  <si>
    <t>GERRY BROTHERS #36-2</t>
  </si>
  <si>
    <t>2S36 49S 31E</t>
  </si>
  <si>
    <t>26° 10' 46.15213" N</t>
  </si>
  <si>
    <t>81° 11' 10.09575" W</t>
  </si>
  <si>
    <t>738'FNL&amp;390'FWL</t>
  </si>
  <si>
    <t>13-3/8" 1568'</t>
  </si>
  <si>
    <t>11516-11585</t>
  </si>
  <si>
    <t>11400-11613 3706-3981 1437-1829 24-174</t>
  </si>
  <si>
    <t>0902120165</t>
  </si>
  <si>
    <t>OG_1089</t>
  </si>
  <si>
    <t>DUDA #2-2</t>
  </si>
  <si>
    <t>DIL BHCS CNLDN CD CPL DIR CC CALIPER DIR</t>
  </si>
  <si>
    <t>2S2 45S 28E</t>
  </si>
  <si>
    <t>26° 35' 47.03242" N</t>
  </si>
  <si>
    <t>81° 29' 45.88151" W</t>
  </si>
  <si>
    <t>1543'FNL&amp;1318'FWL</t>
  </si>
  <si>
    <t>13-3/8" 1575'</t>
  </si>
  <si>
    <t>9-5/8" 3802'</t>
  </si>
  <si>
    <t>5-1/2" 11456'</t>
  </si>
  <si>
    <t>2-7/8" 6979'</t>
  </si>
  <si>
    <t>11373-11456</t>
  </si>
  <si>
    <t>11400-11425</t>
  </si>
  <si>
    <t>118 BSWPD</t>
  </si>
  <si>
    <t>11377-11420</t>
  </si>
  <si>
    <t>11033-3562-1790-1613-1384-1130-770-530-4</t>
  </si>
  <si>
    <t>0905120107</t>
  </si>
  <si>
    <t>OG_1090</t>
  </si>
  <si>
    <t>LEON THOMAS ETAL #40-12</t>
  </si>
  <si>
    <t>30° 57' 48.94779" N</t>
  </si>
  <si>
    <t>87° 8' 34.5664" W</t>
  </si>
  <si>
    <t>1353'FNL&amp;2422' FWL</t>
  </si>
  <si>
    <t>9-5/8" 3914'</t>
  </si>
  <si>
    <t>7" 15860'</t>
  </si>
  <si>
    <t>3-1/2" 15595'</t>
  </si>
  <si>
    <t>15652-15818</t>
  </si>
  <si>
    <t>46 BOPD</t>
  </si>
  <si>
    <t>606 MCFPD</t>
  </si>
  <si>
    <t>3014 BSWPD</t>
  </si>
  <si>
    <t>15638-15711</t>
  </si>
  <si>
    <t>14200-15638 13570-14070 5955-6414 3535-4014 1215-1748 6-134</t>
  </si>
  <si>
    <t>0911320204</t>
  </si>
  <si>
    <t>OG_1091</t>
  </si>
  <si>
    <t>SWD SYSTEM #9 WELL #6</t>
  </si>
  <si>
    <t>DIL RADIOACT CBL</t>
  </si>
  <si>
    <t>30° 57' 33.03828" N</t>
  </si>
  <si>
    <t>87° 11' 30.99897" W</t>
  </si>
  <si>
    <t>1859'FSL&amp;751'FEL</t>
  </si>
  <si>
    <t>9-5/8" 2315'</t>
  </si>
  <si>
    <t>7" 6848'</t>
  </si>
  <si>
    <t>4-1/2" 6106'</t>
  </si>
  <si>
    <t>6380-6798</t>
  </si>
  <si>
    <t>0911320205</t>
  </si>
  <si>
    <t>EPA ID # FLS1130058/FLI0009</t>
  </si>
  <si>
    <t>OG_1092</t>
  </si>
  <si>
    <t>SWD SYSTEM #9 WELL #7</t>
  </si>
  <si>
    <t>30° 57' 35.45561" N</t>
  </si>
  <si>
    <t>87° 11' 59.65442" W</t>
  </si>
  <si>
    <t>1746'FSL&amp;663'FEL</t>
  </si>
  <si>
    <t>OG_1093</t>
  </si>
  <si>
    <t>SWD SYSTEM #1 WELL #3</t>
  </si>
  <si>
    <t>DIL BHCS CBL</t>
  </si>
  <si>
    <t>30° 58' 4.6196" N</t>
  </si>
  <si>
    <t>87° 10' 56.14309" W</t>
  </si>
  <si>
    <t>1488'FNL&amp;2425'FWL</t>
  </si>
  <si>
    <t>10-3/4" 2314'</t>
  </si>
  <si>
    <t>7-5/8" 6783'</t>
  </si>
  <si>
    <t>3-1/2" 6122'</t>
  </si>
  <si>
    <t>6274-6667</t>
  </si>
  <si>
    <t>0911320206</t>
  </si>
  <si>
    <t>EPA ID # FLS1130057/FLI0010</t>
  </si>
  <si>
    <t>OG_1094</t>
  </si>
  <si>
    <t>OLEUM CORP ETAL #14-2</t>
  </si>
  <si>
    <t>DIL BHCS CNLD DIP DIR</t>
  </si>
  <si>
    <t>2S14 50S 32E</t>
  </si>
  <si>
    <t>26° 7' 25.25241" N</t>
  </si>
  <si>
    <t>81° 6' 3.63022" W</t>
  </si>
  <si>
    <t>1025'FNL&amp;500'FWL</t>
  </si>
  <si>
    <t>13-3/8" 1997'</t>
  </si>
  <si>
    <t>9-5/8" 3750'</t>
  </si>
  <si>
    <t>7" 11505'</t>
  </si>
  <si>
    <t>2-7/8" 11350'</t>
  </si>
  <si>
    <t>2869 BSWPD</t>
  </si>
  <si>
    <t>11475-11479</t>
  </si>
  <si>
    <t>10942-11505 5967-5997 3585-3850 1781-2200 150-35</t>
  </si>
  <si>
    <t>0902120166</t>
  </si>
  <si>
    <t>OG_1095</t>
  </si>
  <si>
    <t>OLEUM CORP #6-7</t>
  </si>
  <si>
    <t>DIL BHCS CNLDN TL DIP ML</t>
  </si>
  <si>
    <t>3S6 50S 33E</t>
  </si>
  <si>
    <t>26° 8' 41.22801" N</t>
  </si>
  <si>
    <t>81° 4' 3.55528" W</t>
  </si>
  <si>
    <t>1539'FSL&amp;1401'FWL</t>
  </si>
  <si>
    <t>20" 208'</t>
  </si>
  <si>
    <t>9-5/8" 3923'</t>
  </si>
  <si>
    <t>11453-11531</t>
  </si>
  <si>
    <t>11240-11540 3765-4065 1370-1835 25-175</t>
  </si>
  <si>
    <t>0902120163</t>
  </si>
  <si>
    <t>OG_1096</t>
  </si>
  <si>
    <t>SMACKCO LTD</t>
  </si>
  <si>
    <t>L W ROBERTS #13-4</t>
  </si>
  <si>
    <t>4S13 5N 29W</t>
  </si>
  <si>
    <t>30° 57' 18.4834" N</t>
  </si>
  <si>
    <t>87° 6' 35.58899" W</t>
  </si>
  <si>
    <t>1200'FSL&amp;1400'FEL</t>
  </si>
  <si>
    <t>9-5/8" 3794'</t>
  </si>
  <si>
    <t>15166-15257</t>
  </si>
  <si>
    <t>14610-15285 3654-3944 1400-1750 26-51</t>
  </si>
  <si>
    <t>0911320207</t>
  </si>
  <si>
    <t>OG_1097</t>
  </si>
  <si>
    <t>STATE LEASE 2338 #1</t>
  </si>
  <si>
    <t>DIL BHCS CNLDN ML TL DIP PROP CBL NGR MICRO CYBER</t>
  </si>
  <si>
    <t xml:space="preserve">OFFSHORE </t>
  </si>
  <si>
    <t>30° 26' 44.89022" N</t>
  </si>
  <si>
    <t>87° 0' 56.03519" W</t>
  </si>
  <si>
    <t>20" 2007'</t>
  </si>
  <si>
    <t>13-3/8" 4202'</t>
  </si>
  <si>
    <t>9-5/8" 16735'</t>
  </si>
  <si>
    <t>7" 18011'</t>
  </si>
  <si>
    <t>3-1/2" 17097'</t>
  </si>
  <si>
    <t>17300-17658</t>
  </si>
  <si>
    <t>151 BSWPD</t>
  </si>
  <si>
    <t>17328-17350</t>
  </si>
  <si>
    <t>17476-17560 17171-17469 11649-12009 60-1650</t>
  </si>
  <si>
    <t>0911320211</t>
  </si>
  <si>
    <t>OFFSHORE IN EAST BAY</t>
  </si>
  <si>
    <t>OG_1098</t>
  </si>
  <si>
    <t>A DUDA &amp; SONS #2-1</t>
  </si>
  <si>
    <t>1S2 45S 28E</t>
  </si>
  <si>
    <t>26° 35' 52.53878" N</t>
  </si>
  <si>
    <t>81° 29' 16.60077" W</t>
  </si>
  <si>
    <t>1105'FNL&amp;1240'FEL</t>
  </si>
  <si>
    <t>OG_1099</t>
  </si>
  <si>
    <t>A DUDA &amp; SONS #2-4</t>
  </si>
  <si>
    <t>4S2 45S 28E</t>
  </si>
  <si>
    <t>26° 35' 26.51078" N</t>
  </si>
  <si>
    <t>81° 29' 16.60607" W</t>
  </si>
  <si>
    <t>1657'FSL&amp;1321'FEL</t>
  </si>
  <si>
    <t>OG_1100</t>
  </si>
  <si>
    <t>A DUDA &amp; SONS #11-1</t>
  </si>
  <si>
    <t>1S11 45S 28E</t>
  </si>
  <si>
    <t>26° 34' 57.10825" N</t>
  </si>
  <si>
    <t>81° 29' 15.96736" W</t>
  </si>
  <si>
    <t>1282'FNL&amp;1317'FEL</t>
  </si>
  <si>
    <t>OG_1101</t>
  </si>
  <si>
    <t>A DUDA &amp; SONS #3-1</t>
  </si>
  <si>
    <t>1S3 45S 28E</t>
  </si>
  <si>
    <t>26° 35' 47.33063" N</t>
  </si>
  <si>
    <t>81° 30' 15.30007" W</t>
  </si>
  <si>
    <t>1568'FNL&amp;1319'FEL</t>
  </si>
  <si>
    <t>OG_1102</t>
  </si>
  <si>
    <t>VAN PETROLEUM INC</t>
  </si>
  <si>
    <t>EDWARD V CRAWFORD #16-11</t>
  </si>
  <si>
    <t>DISFL,CNLDN</t>
  </si>
  <si>
    <t>1S16 1S 19W</t>
  </si>
  <si>
    <t>30° 30' 0.24908" N</t>
  </si>
  <si>
    <t>86° 8' 35.66285" W</t>
  </si>
  <si>
    <t>616'FNL&amp;659'FEL</t>
  </si>
  <si>
    <t>16" 138'</t>
  </si>
  <si>
    <t>8-5/8" 1506'</t>
  </si>
  <si>
    <t>1350-1650 200-800 8-33</t>
  </si>
  <si>
    <t>0913120010</t>
  </si>
  <si>
    <t>OG_1103</t>
  </si>
  <si>
    <t>BLAIR BURNHAM #16-44</t>
  </si>
  <si>
    <t>4S16 1S 19W</t>
  </si>
  <si>
    <t>30° 29' 19.46314" N</t>
  </si>
  <si>
    <t>86° 8' 38.64401" W</t>
  </si>
  <si>
    <t>662'FSL&amp;781'FEL</t>
  </si>
  <si>
    <t>OG_1104</t>
  </si>
  <si>
    <t>ROY L BISHOP #16-24</t>
  </si>
  <si>
    <t>2S16 1S 19W</t>
  </si>
  <si>
    <t>30° 29' 48.56946" N</t>
  </si>
  <si>
    <t>86° 9' 6.38903" W</t>
  </si>
  <si>
    <t>1872'FNL&amp;1967' FWL</t>
  </si>
  <si>
    <t>OG_1105</t>
  </si>
  <si>
    <t>TENNECO OIL CO</t>
  </si>
  <si>
    <t>USA-FLORIDA STATE LEASE 3229-F #31-3</t>
  </si>
  <si>
    <t>DIFL-BHCS CNLN-GR</t>
  </si>
  <si>
    <t>3S31 3N 25W</t>
  </si>
  <si>
    <t>30° 43' 13.11042" N</t>
  </si>
  <si>
    <t>86° 47' 9.21775" W</t>
  </si>
  <si>
    <t>2175'FSL&amp;1852'FWL</t>
  </si>
  <si>
    <t>10-3/4" 3591'</t>
  </si>
  <si>
    <t>SEE FOLLOWUP</t>
  </si>
  <si>
    <t>14630-15362 11500-11600 8500-8600 5500-5600 3463-3763 5-30</t>
  </si>
  <si>
    <t>0909120006</t>
  </si>
  <si>
    <t>OG_1106</t>
  </si>
  <si>
    <t>JESS E MOORE #19-8</t>
  </si>
  <si>
    <t>DIFL BHCS-GR CNLD-GR DIR</t>
  </si>
  <si>
    <t>30° 56' 56.80997" N</t>
  </si>
  <si>
    <t>87° 10' 0.98315" W</t>
  </si>
  <si>
    <t>1554'FNL&amp;1812'FWL</t>
  </si>
  <si>
    <t>600 FNL 2063 FWL</t>
  </si>
  <si>
    <t>16" 102'</t>
  </si>
  <si>
    <t>10-3/4" 3838'</t>
  </si>
  <si>
    <t>7" 15938'</t>
  </si>
  <si>
    <t>3-1/2" 15182'</t>
  </si>
  <si>
    <t>15683-15863</t>
  </si>
  <si>
    <t>239 BOPD</t>
  </si>
  <si>
    <t>414 MCFPD</t>
  </si>
  <si>
    <t>952 BSWPD</t>
  </si>
  <si>
    <t>15693-15862</t>
  </si>
  <si>
    <t>0-100, 1197-1597, 3688-3988, 5885-6150, 6328-6467, 13831-14249</t>
  </si>
  <si>
    <t>0911320208</t>
  </si>
  <si>
    <t>1106A</t>
  </si>
  <si>
    <t>JESS E MOORE #19-8A</t>
  </si>
  <si>
    <t>30° 56' 56.83061" N</t>
  </si>
  <si>
    <t>87° 10' 1.00064" W</t>
  </si>
  <si>
    <t>584'FNL&amp;2058'FWL</t>
  </si>
  <si>
    <t>OG_1107</t>
  </si>
  <si>
    <t>DISFL BHCS CBL</t>
  </si>
  <si>
    <t>30° 50' 53.3832" N</t>
  </si>
  <si>
    <t>87° 7' 8.1192" W</t>
  </si>
  <si>
    <t>850'FNL&amp;1800'FWL</t>
  </si>
  <si>
    <t>9-5/8" 2327'</t>
  </si>
  <si>
    <t>7" 7000'</t>
  </si>
  <si>
    <t>4-1/2" 6174'</t>
  </si>
  <si>
    <t>6311-6900</t>
  </si>
  <si>
    <t>0911320225</t>
  </si>
  <si>
    <t>EPA ID# FLS1130050/ FLI0020</t>
  </si>
  <si>
    <t>OG_1108</t>
  </si>
  <si>
    <t>A DUDA &amp; SONS #3-4</t>
  </si>
  <si>
    <t>DISFL BHCS FNC-CNL-GR CC</t>
  </si>
  <si>
    <t>4S3 45S 28E</t>
  </si>
  <si>
    <t>26° 35' 20.79304" N</t>
  </si>
  <si>
    <t>81° 30' 11.90961" W</t>
  </si>
  <si>
    <t>1115'FSL&amp;1007'FEL</t>
  </si>
  <si>
    <t>13-3/8" 1660'</t>
  </si>
  <si>
    <t>9-5/8" 3767'</t>
  </si>
  <si>
    <t>5-1/2" 11459'</t>
  </si>
  <si>
    <t>2-7/8" 11456'</t>
  </si>
  <si>
    <t>11378-11455</t>
  </si>
  <si>
    <t>11393-11428</t>
  </si>
  <si>
    <t>200 BOPD</t>
  </si>
  <si>
    <t>195 BSWPD</t>
  </si>
  <si>
    <t>11392-11416</t>
  </si>
  <si>
    <t>11448-10984,3835-3581</t>
  </si>
  <si>
    <t>0905120109</t>
  </si>
  <si>
    <t>OG_1109</t>
  </si>
  <si>
    <t>A DUDA &amp; SONS #10-1</t>
  </si>
  <si>
    <t>1S10 45S 28E</t>
  </si>
  <si>
    <t>26° 34' 55.55672" N</t>
  </si>
  <si>
    <t>81° 30' 9.40118" W</t>
  </si>
  <si>
    <t>1371'FNL&amp;889'FEL</t>
  </si>
  <si>
    <t>OG_1110</t>
  </si>
  <si>
    <t>SRPC #24-5</t>
  </si>
  <si>
    <t>DIFL BHC-GR CNLD DIR</t>
  </si>
  <si>
    <t>30° 50' 53.2176" N</t>
  </si>
  <si>
    <t>87° 5' 46.4028" W</t>
  </si>
  <si>
    <t>700'FNL&amp;1700'FEL</t>
  </si>
  <si>
    <t>9-5/8" 3865'</t>
  </si>
  <si>
    <t>7" 16167'</t>
  </si>
  <si>
    <t>3-1/2" 15734'</t>
  </si>
  <si>
    <t>261 MCFPD</t>
  </si>
  <si>
    <t>16 BSWPD</t>
  </si>
  <si>
    <t>16108-16118 15768-15850</t>
  </si>
  <si>
    <t>0911320210</t>
  </si>
  <si>
    <t>OG_1111</t>
  </si>
  <si>
    <t>EFFIE WRIGHT ETAL #41-7</t>
  </si>
  <si>
    <t xml:space="preserve">BHCS DISFL </t>
  </si>
  <si>
    <t>30° 56' 52.1227" N</t>
  </si>
  <si>
    <t>87° 8' 55.97635" W</t>
  </si>
  <si>
    <t>1881' from SE/C Sec 10&amp;2125' FWL Sec 41</t>
  </si>
  <si>
    <t>1694 F SE/C SEC 10 1473 FWL 41</t>
  </si>
  <si>
    <t>9-5/8" 3845'</t>
  </si>
  <si>
    <t>7" 15900'</t>
  </si>
  <si>
    <t>2-7/8" 15580'</t>
  </si>
  <si>
    <t>15530-15700</t>
  </si>
  <si>
    <t>3.1 BOPD</t>
  </si>
  <si>
    <t>317 MCFPD</t>
  </si>
  <si>
    <t>1232 BSWPD</t>
  </si>
  <si>
    <t>15612-15853</t>
  </si>
  <si>
    <t>15296-15780 11475-11988</t>
  </si>
  <si>
    <t>0911320209</t>
  </si>
  <si>
    <t>1111A</t>
  </si>
  <si>
    <t>DLL BHCS CNLD IND DIR</t>
  </si>
  <si>
    <t>1881' from SE/C Sec 10&amp;2125' FWL Sec 42</t>
  </si>
  <si>
    <t>15593-15858</t>
  </si>
  <si>
    <t>176 MCFPD</t>
  </si>
  <si>
    <t>516 BSWPD</t>
  </si>
  <si>
    <t>15618-15859</t>
  </si>
  <si>
    <t>4-100 1132-1700 3460-3775 3789-3996 7500-8003 15578-15831</t>
  </si>
  <si>
    <t>0911320209-01</t>
  </si>
  <si>
    <t>OG_1112</t>
  </si>
  <si>
    <t>BCC #7-4</t>
  </si>
  <si>
    <t>DISFL BHCS CNLD GR-SPEC ML FIL TEMP CPL</t>
  </si>
  <si>
    <t>4S7 4S 9E</t>
  </si>
  <si>
    <t>30° 8' 47.42939" N</t>
  </si>
  <si>
    <t>83° 27' 15.3957" W</t>
  </si>
  <si>
    <t>1116'FSL&amp;313'FEL</t>
  </si>
  <si>
    <t>30"@ 78'</t>
  </si>
  <si>
    <t>13-3/8"@ 2111'</t>
  </si>
  <si>
    <t>5555-5570 8885-8897</t>
  </si>
  <si>
    <t xml:space="preserve">1714-2331 881-1695 </t>
  </si>
  <si>
    <t>0912320007</t>
  </si>
  <si>
    <t>OG_1113</t>
  </si>
  <si>
    <t>SRPC #5-6</t>
  </si>
  <si>
    <t>30° 58' 52.24935" N</t>
  </si>
  <si>
    <t>87° 9' 15.99252" W</t>
  </si>
  <si>
    <t>60'FNL&amp;155'FWL</t>
  </si>
  <si>
    <t>10-3/4"@ 3790</t>
  </si>
  <si>
    <t>7"@15775'</t>
  </si>
  <si>
    <t>3-1/2" 15600'</t>
  </si>
  <si>
    <t>15715-15754</t>
  </si>
  <si>
    <t>632 BOPD</t>
  </si>
  <si>
    <t>940 MCFPD</t>
  </si>
  <si>
    <t>512 BSWPD</t>
  </si>
  <si>
    <t>15612-15674</t>
  </si>
  <si>
    <t>4-150 1209-1751 3565-3850 6297-6372 11584-11751 14210-15656</t>
  </si>
  <si>
    <t>0911320224</t>
  </si>
  <si>
    <t>OG_1114</t>
  </si>
  <si>
    <t>USA-FLORIDA STATE LEASE 3128-F #16-4</t>
  </si>
  <si>
    <t>4S16 4N 27W</t>
  </si>
  <si>
    <t>30° 50' 53.95361" N</t>
  </si>
  <si>
    <t>86° 56' 27.76503" W</t>
  </si>
  <si>
    <t>419'FSL&amp;480'FEL</t>
  </si>
  <si>
    <t>10-3/4"@ 3521</t>
  </si>
  <si>
    <t>15049-15127 15316-15362</t>
  </si>
  <si>
    <t>14790-15738 11700-11800 8600-8700 5500-5600 3340-3710 800-1200 5-30</t>
  </si>
  <si>
    <t>0911320212</t>
  </si>
  <si>
    <t>OG_1115</t>
  </si>
  <si>
    <t>COLLIER CO #12-3</t>
  </si>
  <si>
    <t>DIL BHCS DIP CAL</t>
  </si>
  <si>
    <t>26° 13' 29.07211" N</t>
  </si>
  <si>
    <t>81° 16' 44.93871" W</t>
  </si>
  <si>
    <t>1393'FNL&amp;1466'FWL</t>
  </si>
  <si>
    <t>2934S OF N/L &amp; 1545 E W/L</t>
  </si>
  <si>
    <t>20" @ 263'</t>
  </si>
  <si>
    <t>13-3/8"@1988'</t>
  </si>
  <si>
    <t>9-5/8"@3900'</t>
  </si>
  <si>
    <t>7"@ 11,949</t>
  </si>
  <si>
    <t>2-7/8"@11,300'</t>
  </si>
  <si>
    <t>11860-11909</t>
  </si>
  <si>
    <t>11584-11590,11592-11596</t>
  </si>
  <si>
    <t>11433-11929 3636-3850 1050-2190 620-820 360-460 200-4</t>
  </si>
  <si>
    <t>0902120167</t>
  </si>
  <si>
    <t>EPA ID# FLS 0210007</t>
  </si>
  <si>
    <t>OG_1116</t>
  </si>
  <si>
    <t>NATURAL RESOURCE MGMT CORP,ENEX RESOURCES CORP</t>
  </si>
  <si>
    <t>26° 35' 0.44645" N</t>
  </si>
  <si>
    <t>81° 27' 50.32921" W</t>
  </si>
  <si>
    <t xml:space="preserve">1183'FNL&amp;1189' FWL </t>
  </si>
  <si>
    <t>20"-236'</t>
  </si>
  <si>
    <t>13-3/8"-1548'</t>
  </si>
  <si>
    <t>9-5/8"-3835'</t>
  </si>
  <si>
    <t>2-7/8"-3765'</t>
  </si>
  <si>
    <t>11460-11085 3676-3956 1322-1915 607-1007 4-120</t>
  </si>
  <si>
    <t>Was originally P# 1081 coverted to SWD</t>
  </si>
  <si>
    <t>OG_1117</t>
  </si>
  <si>
    <t>DELTA ENERGY RESOURCES INC</t>
  </si>
  <si>
    <t>W F DOZIER #22-2</t>
  </si>
  <si>
    <t>2S22 3N 28W</t>
  </si>
  <si>
    <t>30° 45' 31.594" N</t>
  </si>
  <si>
    <t>87° 2' 12.75302" W</t>
  </si>
  <si>
    <t>1307'FNL&amp;1670'FWL</t>
  </si>
  <si>
    <t>9-5/8"@ 3920'</t>
  </si>
  <si>
    <t>15750-16800 3720-4070 900-1000 5-30</t>
  </si>
  <si>
    <t>0911320213</t>
  </si>
  <si>
    <t>OG_1118</t>
  </si>
  <si>
    <t>COLLIER CO #2-10</t>
  </si>
  <si>
    <t>26° 13' 57.56175" N</t>
  </si>
  <si>
    <t>81° 16' 54.81102" W</t>
  </si>
  <si>
    <t>1532'FSL&amp;638'FWL</t>
  </si>
  <si>
    <t>2850'FSL &amp; 350'FEL (2-10 WELL)</t>
  </si>
  <si>
    <t>20"@ 258'</t>
  </si>
  <si>
    <t>13-3/8"@1998'</t>
  </si>
  <si>
    <t>9-5/8"@3949'</t>
  </si>
  <si>
    <t>7"@ 12,000</t>
  </si>
  <si>
    <t>11713-11912</t>
  </si>
  <si>
    <t>11906-11910 11872-11885</t>
  </si>
  <si>
    <t>11300-11902</t>
  </si>
  <si>
    <t>0902120172</t>
  </si>
  <si>
    <t>1118A</t>
  </si>
  <si>
    <t>COLLIER CO #2-10A</t>
  </si>
  <si>
    <t>PROD/TA</t>
  </si>
  <si>
    <t>1155'N &amp; 1031'W OF SHL</t>
  </si>
  <si>
    <t>7"@10800'</t>
  </si>
  <si>
    <t>2 7/8"@10,035'</t>
  </si>
  <si>
    <t>25 BOPD</t>
  </si>
  <si>
    <t>11856-11888</t>
  </si>
  <si>
    <t>11657-11925 3664-3845 1765-2168 1128-1231 790-874 215-435 4-117</t>
  </si>
  <si>
    <t>0902120172-01</t>
  </si>
  <si>
    <t>4 1/2" liner @ 10800-12000'</t>
  </si>
  <si>
    <t>OG_1119</t>
  </si>
  <si>
    <t>COLLIER CO #2-11</t>
  </si>
  <si>
    <t>26° 14' 54.18282" N</t>
  </si>
  <si>
    <t>81° 17' 48.49053" W</t>
  </si>
  <si>
    <t>1608'FNL&amp;1129' FWL</t>
  </si>
  <si>
    <t>1583'S &amp; 1031'W of SHL</t>
  </si>
  <si>
    <t>20"@ 261'</t>
  </si>
  <si>
    <t>13-3/8"@ 1897'</t>
  </si>
  <si>
    <t>9-5/8"@ 3828'</t>
  </si>
  <si>
    <t>7"@ 12,144'</t>
  </si>
  <si>
    <t>11840-12062</t>
  </si>
  <si>
    <t>12058-12065 12082-12088</t>
  </si>
  <si>
    <t xml:space="preserve">12145-11542 1834-2176 1666-1828 1104-1245 618-697 228-429 4-117 </t>
  </si>
  <si>
    <t>0902120170</t>
  </si>
  <si>
    <t>OG_1120</t>
  </si>
  <si>
    <t>L C FISHER ETAL #28-24</t>
  </si>
  <si>
    <t>30° 39' 4.21157" N</t>
  </si>
  <si>
    <t>86° 51' 14.3861" W</t>
  </si>
  <si>
    <t>1851'FNL&amp;2115'FWL</t>
  </si>
  <si>
    <t>OG_1121</t>
  </si>
  <si>
    <t>25° 58' 47.18516" N</t>
  </si>
  <si>
    <t>80° 54' 13.24439" W</t>
  </si>
  <si>
    <t>34'FSL&amp;700'FWL</t>
  </si>
  <si>
    <t>9-5/8"@ 2228'</t>
  </si>
  <si>
    <t>7"@ 2500'</t>
  </si>
  <si>
    <t>5"@2347-3600</t>
  </si>
  <si>
    <t>2 7/8"&amp;4 1/2"@2430'</t>
  </si>
  <si>
    <t>2510-2520 3000-3020</t>
  </si>
  <si>
    <t>0902120171</t>
  </si>
  <si>
    <t>EPA Permit # FLI 0022/FLS0210015</t>
  </si>
  <si>
    <t>OG_1122</t>
  </si>
  <si>
    <t>STATE LEASE 2338 #2</t>
  </si>
  <si>
    <t>30° 26' 44.78024" N</t>
  </si>
  <si>
    <t>87° 0' 56.08519" W</t>
  </si>
  <si>
    <t>See Lat/Longs</t>
  </si>
  <si>
    <t>OG_1123</t>
  </si>
  <si>
    <t>CONOCO INC</t>
  </si>
  <si>
    <t>CHARLIE LEE WINDHORST #12-3</t>
  </si>
  <si>
    <t>3S12 3N 29W</t>
  </si>
  <si>
    <t>30° 46' 56.31521" N</t>
  </si>
  <si>
    <t>87° 6' 23.63566" W</t>
  </si>
  <si>
    <t>1529'FSL&amp;1010'FWL</t>
  </si>
  <si>
    <t>10-3/4"@ 4000</t>
  </si>
  <si>
    <t>16383-16933 7300-7550 3700-4100 1900-2100 5-35</t>
  </si>
  <si>
    <t>0911320215</t>
  </si>
  <si>
    <t>OG_1124</t>
  </si>
  <si>
    <t>CLARK #9-2</t>
  </si>
  <si>
    <t>2S9 44S 26E</t>
  </si>
  <si>
    <t>26° 40' 5.55294" N</t>
  </si>
  <si>
    <t>81° 43' 13.36501" W</t>
  </si>
  <si>
    <t xml:space="preserve">1186'FNL&amp;2464' FWL </t>
  </si>
  <si>
    <t>20"@209'</t>
  </si>
  <si>
    <t>13-3/8 @ 1539'</t>
  </si>
  <si>
    <t>9-5/8"@3724'</t>
  </si>
  <si>
    <t>11386-11398</t>
  </si>
  <si>
    <t xml:space="preserve">11200-11600 3580-3845 </t>
  </si>
  <si>
    <t>0907120085</t>
  </si>
  <si>
    <t>P#1183 kicked off from this well bore</t>
  </si>
  <si>
    <t>OG_1125</t>
  </si>
  <si>
    <t>BLUFF SPRINGS</t>
  </si>
  <si>
    <t>THE STONE PETROLEUM CORP</t>
  </si>
  <si>
    <t>SRPC #29-4</t>
  </si>
  <si>
    <t>DIL CNL CD TL</t>
  </si>
  <si>
    <t>4S29 5N 31W</t>
  </si>
  <si>
    <t>30° 55' 0.32842" N</t>
  </si>
  <si>
    <t>87° 21' 27.12893" W</t>
  </si>
  <si>
    <t>1000'FSL&amp;1350'FEL</t>
  </si>
  <si>
    <t>5-1/2"@ 16800'</t>
  </si>
  <si>
    <t>2-7/8"@ 16317'</t>
  </si>
  <si>
    <t>16360-16800</t>
  </si>
  <si>
    <t>494 BOPD</t>
  </si>
  <si>
    <t>170 MCFD</t>
  </si>
  <si>
    <t>295 BWPD</t>
  </si>
  <si>
    <t>16332-16339</t>
  </si>
  <si>
    <t>15839-16339 3793-4096 1200-1600 4-100</t>
  </si>
  <si>
    <t>0903320039</t>
  </si>
  <si>
    <t>Bluff Springs Field discovery well</t>
  </si>
  <si>
    <t>OG_1126</t>
  </si>
  <si>
    <t>HABER OIL CO INC</t>
  </si>
  <si>
    <t>VON AXELSON #20-4</t>
  </si>
  <si>
    <t>4S20 4N 28W</t>
  </si>
  <si>
    <t>30° 50' 16.34572" N</t>
  </si>
  <si>
    <t>87° 3' 44.66693" W</t>
  </si>
  <si>
    <t>1093'FSL&amp;1529'FEL</t>
  </si>
  <si>
    <t>OG_1127</t>
  </si>
  <si>
    <t>DAVIS OIL CO</t>
  </si>
  <si>
    <t>J F BRFLD ETUX #28-4</t>
  </si>
  <si>
    <t>DIL BHCS CNLDN CL</t>
  </si>
  <si>
    <t>26° 21' 32.32332" N</t>
  </si>
  <si>
    <t>81° 25' 6.77766" W</t>
  </si>
  <si>
    <t>2075'FSL&amp;725'FEL</t>
  </si>
  <si>
    <t>20"@225'</t>
  </si>
  <si>
    <t>13-3/8"@ 1821'</t>
  </si>
  <si>
    <t>9-5/8"@3716'</t>
  </si>
  <si>
    <t>11514-11714 3580-3680 1785-1945 1660-185 4-150</t>
  </si>
  <si>
    <t>0902120173</t>
  </si>
  <si>
    <t>OG_1128</t>
  </si>
  <si>
    <t>JENKINS OIL &amp; GAS INC</t>
  </si>
  <si>
    <t>JENKINS-HAYNES #8-1</t>
  </si>
  <si>
    <t>DIL BHCS CNL ML</t>
  </si>
  <si>
    <t>1S8 3N 28W</t>
  </si>
  <si>
    <t>30° 47' 14.59039" N</t>
  </si>
  <si>
    <t>87° 3' 49.96836" W</t>
  </si>
  <si>
    <t>1550'FNL&amp;1650'FEL</t>
  </si>
  <si>
    <t>9-5/8"@ 3950'</t>
  </si>
  <si>
    <t>5-1/2"@ 16640'</t>
  </si>
  <si>
    <t>16187-16619</t>
  </si>
  <si>
    <t>16216-16220</t>
  </si>
  <si>
    <t>15857-16216 15257-15537 4184-4384 3815-4100 1900-2100 6-30</t>
  </si>
  <si>
    <t>0911320216</t>
  </si>
  <si>
    <t>OG_1129</t>
  </si>
  <si>
    <t>BCC #5-1</t>
  </si>
  <si>
    <t>1S5 9S 11E</t>
  </si>
  <si>
    <t>29° 43' 52.71931" N</t>
  </si>
  <si>
    <t>83° 14' 22.31934" W</t>
  </si>
  <si>
    <t>1439'FNL&amp;1500'FEL</t>
  </si>
  <si>
    <t>24"@ 118'</t>
  </si>
  <si>
    <t>10-3/4"@ 2200</t>
  </si>
  <si>
    <t>2380-1790,896-87 10-85</t>
  </si>
  <si>
    <t>0902920002</t>
  </si>
  <si>
    <t>OG_1130</t>
  </si>
  <si>
    <t>CL&amp;CC #34-1</t>
  </si>
  <si>
    <t>1S35 51S 34E</t>
  </si>
  <si>
    <t>25° 59' 1.46596" N</t>
  </si>
  <si>
    <t>80° 54' 2.49771" W</t>
  </si>
  <si>
    <t>1603'FSL&amp;1816'FWL of Sec 35</t>
  </si>
  <si>
    <t>1323 FNL 1333 FEL OF SEC 34</t>
  </si>
  <si>
    <t>13 3/8"@2197'</t>
  </si>
  <si>
    <t>9 5/8"@4000'</t>
  </si>
  <si>
    <t>7" 13023'</t>
  </si>
  <si>
    <t>2-7/8" 13090</t>
  </si>
  <si>
    <t>13063-13131</t>
  </si>
  <si>
    <t>659 BOPD</t>
  </si>
  <si>
    <t>100 BWPD</t>
  </si>
  <si>
    <t>13082-13109</t>
  </si>
  <si>
    <t>13,253'-12,681'</t>
  </si>
  <si>
    <t>0902120178</t>
  </si>
  <si>
    <t>OG_1131</t>
  </si>
  <si>
    <t>CTLC #13-1</t>
  </si>
  <si>
    <t>26° 33' 50.87488" N</t>
  </si>
  <si>
    <t>81° 34' 3.25452" W</t>
  </si>
  <si>
    <t>2769'FNL&amp;1045'FEL</t>
  </si>
  <si>
    <t>S'LY 1992, W'LY 1874</t>
  </si>
  <si>
    <t>20"@261'</t>
  </si>
  <si>
    <t>13-3/8 @ 1465'</t>
  </si>
  <si>
    <t>9-5/8 @ 3600'</t>
  </si>
  <si>
    <t>11722-11782</t>
  </si>
  <si>
    <t>11802-11277', 6500-6000'</t>
  </si>
  <si>
    <t>0907120086</t>
  </si>
  <si>
    <t>OG_1132</t>
  </si>
  <si>
    <t>CTLC #13-5</t>
  </si>
  <si>
    <t>660'FSL &amp; 1880'FWL</t>
  </si>
  <si>
    <t>13-3/8"@ 1465</t>
  </si>
  <si>
    <t>7"@ 12495'</t>
  </si>
  <si>
    <t>12449-12484</t>
  </si>
  <si>
    <t>198 BOPD</t>
  </si>
  <si>
    <t>115 BWPD</t>
  </si>
  <si>
    <t>12448-457,12470-477</t>
  </si>
  <si>
    <t>12134-12493 3366-3586 1913-1962 667-874 193-400 4-120</t>
  </si>
  <si>
    <t>0907120086-01</t>
  </si>
  <si>
    <t>OG_1133</t>
  </si>
  <si>
    <t>TURNER CORP #18-4</t>
  </si>
  <si>
    <t>4S18 47S 29E</t>
  </si>
  <si>
    <t>26° 23' 9.13524" N</t>
  </si>
  <si>
    <t>81° 27' 14.36785" W</t>
  </si>
  <si>
    <t>1450'FSL&amp;1550'FEL</t>
  </si>
  <si>
    <t>OG_1134</t>
  </si>
  <si>
    <t>TURNER CORP #20-2</t>
  </si>
  <si>
    <t>2S20 47S 29E</t>
  </si>
  <si>
    <t>26° 22' 50.04242" N</t>
  </si>
  <si>
    <t>81° 26' 40.40401" W</t>
  </si>
  <si>
    <t xml:space="preserve">489'FNL&amp;1500' FWL </t>
  </si>
  <si>
    <t>20"@ 281'</t>
  </si>
  <si>
    <t>13-3/8"@ 1935</t>
  </si>
  <si>
    <t>9-5/8"@ 3934'</t>
  </si>
  <si>
    <t>11470-11969 3765-4035 1735-2135 30-150</t>
  </si>
  <si>
    <t>0902120175</t>
  </si>
  <si>
    <t>OG_1135</t>
  </si>
  <si>
    <t>CFC #13-4</t>
  </si>
  <si>
    <t>4S13 44S 25E</t>
  </si>
  <si>
    <t>26° 38' 46.72899" N</t>
  </si>
  <si>
    <t>81° 45' 45.36918" W</t>
  </si>
  <si>
    <t>1544'FSL&amp;1058'FEL</t>
  </si>
  <si>
    <t>OG_1136</t>
  </si>
  <si>
    <t>SRPC #29-3</t>
  </si>
  <si>
    <t>3S29 5N 31W</t>
  </si>
  <si>
    <t>30° 55' 9.37142" N</t>
  </si>
  <si>
    <t>87° 21' 54.62388" W</t>
  </si>
  <si>
    <t>1901'FSL&amp;1535'FWL</t>
  </si>
  <si>
    <t>10-3/4"@ 3925</t>
  </si>
  <si>
    <t>16354.5-16392.5</t>
  </si>
  <si>
    <t>16500-15850,4125-3640,1800-1550,60-0</t>
  </si>
  <si>
    <t>0903320040</t>
  </si>
  <si>
    <t>OG_1137</t>
  </si>
  <si>
    <t>PRESTON OIL CO</t>
  </si>
  <si>
    <t>TURNER CORP #35-1</t>
  </si>
  <si>
    <t>1S35 48S 29E</t>
  </si>
  <si>
    <t>26° 15' 44.14067" N</t>
  </si>
  <si>
    <t>81° 23' 13.5916" W</t>
  </si>
  <si>
    <t>1320'FNL&amp;1334'FEL</t>
  </si>
  <si>
    <t>13-3/8" 1870'</t>
  </si>
  <si>
    <t>9-5/8"-3695'</t>
  </si>
  <si>
    <t>11500-11750 3528-3778 1671-1910 4-154</t>
  </si>
  <si>
    <t>0902120177</t>
  </si>
  <si>
    <t>OG_1138</t>
  </si>
  <si>
    <t>WALTON LAND &amp; TIMBER CO #16-33</t>
  </si>
  <si>
    <t>3S16 1N 18W</t>
  </si>
  <si>
    <t>30° 34' 30.84935" N</t>
  </si>
  <si>
    <t>86° 3' 16.97483" W</t>
  </si>
  <si>
    <t>541'FSL&amp;538'FWL</t>
  </si>
  <si>
    <t>16"@ 123'</t>
  </si>
  <si>
    <t>9-5/8" @ 1886</t>
  </si>
  <si>
    <t>1692-2001 1350-1550 5-80</t>
  </si>
  <si>
    <t>0913120011</t>
  </si>
  <si>
    <t>OG_1139</t>
  </si>
  <si>
    <t>SWD #1</t>
  </si>
  <si>
    <t>30° 55' 0.64416" N</t>
  </si>
  <si>
    <t>87° 21' 24.52777" W</t>
  </si>
  <si>
    <t>1036'FSL&amp;1169'FEL</t>
  </si>
  <si>
    <t>OG_1140</t>
  </si>
  <si>
    <t>HUGHES EASTERN PETROLEUM LTD</t>
  </si>
  <si>
    <t>GERRY BROS #33-2</t>
  </si>
  <si>
    <t xml:space="preserve">1295'FNL&amp;1040' FWL </t>
  </si>
  <si>
    <t>13-3/8"@ 1421</t>
  </si>
  <si>
    <t>7"@ 11611'</t>
  </si>
  <si>
    <t>11603.5-11606</t>
  </si>
  <si>
    <t>11218-11618,3440-3700,800-1000,4-150</t>
  </si>
  <si>
    <t>0902120184</t>
  </si>
  <si>
    <t>Kickoff rom Permit 664</t>
  </si>
  <si>
    <t>OG_1141</t>
  </si>
  <si>
    <t>CL&amp;CC #2-1</t>
  </si>
  <si>
    <t>1S2 52S 34E</t>
  </si>
  <si>
    <t>25° 58' 39.63593" N</t>
  </si>
  <si>
    <t>80° 54' 13.01104" W</t>
  </si>
  <si>
    <t>723'FNL&amp;707'FWL</t>
  </si>
  <si>
    <t>415'S &amp; 3318'E OF SHL</t>
  </si>
  <si>
    <t>20"@244'</t>
  </si>
  <si>
    <t>13 3/8"@2186'</t>
  </si>
  <si>
    <t>9 5/8"@4005'</t>
  </si>
  <si>
    <t>7"@ 12439'</t>
  </si>
  <si>
    <t>12568-12654</t>
  </si>
  <si>
    <t>12562-12569,12578-12292 MD</t>
  </si>
  <si>
    <t>12592-11877,</t>
  </si>
  <si>
    <t>0902120180</t>
  </si>
  <si>
    <t>4 1/2" liner 11873-12709' MD</t>
  </si>
  <si>
    <t>1141AH</t>
  </si>
  <si>
    <t>CL&amp;CC #2-1AH</t>
  </si>
  <si>
    <t>CCL GR/TEMP BOND VERTILOG LITH/MUD</t>
  </si>
  <si>
    <t>1183FNL&amp;1306FWL Sec 1</t>
  </si>
  <si>
    <t>7" 11648/5"@11648-12849 MD</t>
  </si>
  <si>
    <t>3 1/2"@ 9167'</t>
  </si>
  <si>
    <t>519 BOPD</t>
  </si>
  <si>
    <t>59.17 MCF</t>
  </si>
  <si>
    <t>4080BWPD</t>
  </si>
  <si>
    <t>OH HZ 13349-15137 MD</t>
  </si>
  <si>
    <t>0902120180-01</t>
  </si>
  <si>
    <t>OG_1142</t>
  </si>
  <si>
    <t>COLLIER CO #19-2</t>
  </si>
  <si>
    <t>DIL CNLDN BHCS DIP</t>
  </si>
  <si>
    <t>26° 17' 42.29033" N</t>
  </si>
  <si>
    <t>81° 21' 39.06092" W</t>
  </si>
  <si>
    <t>272'FNL&amp;2114'FWL</t>
  </si>
  <si>
    <t>20"@ 238'</t>
  </si>
  <si>
    <t>13-3/8"@ 1844'</t>
  </si>
  <si>
    <t>9-5/8"@ 4008'</t>
  </si>
  <si>
    <t>7"@ 11733'</t>
  </si>
  <si>
    <t>2-7/8"@ 11350'</t>
  </si>
  <si>
    <t>11081-11626</t>
  </si>
  <si>
    <t>211 BOPD</t>
  </si>
  <si>
    <t>3024 BWPD</t>
  </si>
  <si>
    <t>11582-11586,11609-11616</t>
  </si>
  <si>
    <t>11416-190,3958-719,2100-1950,1922-1551,1420-1220,</t>
  </si>
  <si>
    <t>0902120181</t>
  </si>
  <si>
    <t>OG_1143</t>
  </si>
  <si>
    <t>3S5 47S 28E</t>
  </si>
  <si>
    <t>26° 24' 45.21482" N</t>
  </si>
  <si>
    <t>81° 32' 32.28111" W</t>
  </si>
  <si>
    <t>OG_1144</t>
  </si>
  <si>
    <t>DAWSON NOWLING ETAL #14-5</t>
  </si>
  <si>
    <t>DIL BHCS CNLDN TL EPT</t>
  </si>
  <si>
    <t>30° 51' 37.37592" N</t>
  </si>
  <si>
    <t>87° 7' 5.37982" W</t>
  </si>
  <si>
    <t>1700'FNL&amp;1925'FWL</t>
  </si>
  <si>
    <t>16" @ 130</t>
  </si>
  <si>
    <t>9-5/8" @ 3961</t>
  </si>
  <si>
    <t>7" @ 16100</t>
  </si>
  <si>
    <t>3-1/2" @ 15820</t>
  </si>
  <si>
    <t>15838-16016</t>
  </si>
  <si>
    <t>124 BOPD</t>
  </si>
  <si>
    <t>850 MCFPD</t>
  </si>
  <si>
    <t>15864-15880</t>
  </si>
  <si>
    <t>0-100, 1255-1703, 2004-2340, 3708-4120, 5803-6180,13257-13532(estimated),15190-15768(estimated), 15889-15902</t>
  </si>
  <si>
    <t>0911320217</t>
  </si>
  <si>
    <t>OG_1145</t>
  </si>
  <si>
    <t>TED MAY ETUX #17-3</t>
  </si>
  <si>
    <t>DIL BHCS CNLDN EPT</t>
  </si>
  <si>
    <t>30° 56' 45.06242" N</t>
  </si>
  <si>
    <t>87° 8' 18.57582" W</t>
  </si>
  <si>
    <t>2450'FNL&amp;100' FWL</t>
  </si>
  <si>
    <t>16"@ 124'</t>
  </si>
  <si>
    <t>10-3/4"@ 3775'</t>
  </si>
  <si>
    <t>7"@ 15850'</t>
  </si>
  <si>
    <t>2-7/8"@ 3K-15K</t>
  </si>
  <si>
    <t>15579-15768</t>
  </si>
  <si>
    <t>4 BbLSPD</t>
  </si>
  <si>
    <t>283 MCFPD</t>
  </si>
  <si>
    <t>218 bBLSPD</t>
  </si>
  <si>
    <t>15608-15696</t>
  </si>
  <si>
    <t>15585-15862 14156-14467 3278-4600 2976-3274 5-2097</t>
  </si>
  <si>
    <t>0911320219</t>
  </si>
  <si>
    <t>OG_1146</t>
  </si>
  <si>
    <t>LEAMON HAWTHORNE #5-7</t>
  </si>
  <si>
    <t>30° 58' 33.09859" N</t>
  </si>
  <si>
    <t>87° 8' 59.4771" W</t>
  </si>
  <si>
    <t>2273'FNL&amp;1605' FWL</t>
  </si>
  <si>
    <t>16"@ 125'</t>
  </si>
  <si>
    <t>10-3/4"@ 3695'</t>
  </si>
  <si>
    <t>7"@ 15884'</t>
  </si>
  <si>
    <t>2-7/8"@ 15640'</t>
  </si>
  <si>
    <t>2244 BOPD</t>
  </si>
  <si>
    <t>15660-15717</t>
  </si>
  <si>
    <t>15658-15715,13448-14048,6016-6238,3359-3610,1317-1818,18-120</t>
  </si>
  <si>
    <t>0911320222</t>
  </si>
  <si>
    <t>OG_1147</t>
  </si>
  <si>
    <t>TURNER CORP #20-4</t>
  </si>
  <si>
    <t>4S20 45S 28E</t>
  </si>
  <si>
    <t>26° 32' 39.70817" N</t>
  </si>
  <si>
    <t>81° 32' 14.19277" W</t>
  </si>
  <si>
    <t>660'FSL&amp;2013'FEL</t>
  </si>
  <si>
    <t>20"@220'</t>
  </si>
  <si>
    <t>13-3/8"@ 1724'</t>
  </si>
  <si>
    <t>9-5/8" 3609'</t>
  </si>
  <si>
    <t>11465-11495</t>
  </si>
  <si>
    <t>0905120111</t>
  </si>
  <si>
    <t>OG_1148</t>
  </si>
  <si>
    <t>JENKINS-LEE #8-2</t>
  </si>
  <si>
    <t>DIL TL ML</t>
  </si>
  <si>
    <t>2S8 3N 28W</t>
  </si>
  <si>
    <t>30° 47' 14.109" N</t>
  </si>
  <si>
    <t>87° 4' 13.2996" W</t>
  </si>
  <si>
    <t>1570'FNL&amp;1609'FWL</t>
  </si>
  <si>
    <t>9-5/8" @ 3955</t>
  </si>
  <si>
    <t>16170-16255</t>
  </si>
  <si>
    <t>15700-16251 3780-4105 6-31</t>
  </si>
  <si>
    <t>0911320218</t>
  </si>
  <si>
    <t>OG_1149</t>
  </si>
  <si>
    <t>CL&amp;CC #27-3</t>
  </si>
  <si>
    <t>3S28 51S 34E</t>
  </si>
  <si>
    <t>25° 59' 59.612" N</t>
  </si>
  <si>
    <t>80° 55' 27.78215" W</t>
  </si>
  <si>
    <t>1822'FSL&amp;797'FELof sec 28</t>
  </si>
  <si>
    <t>844'S&amp;2064'E of SHL</t>
  </si>
  <si>
    <t>13-3/8" @ 2180'</t>
  </si>
  <si>
    <t>9-5/8" @ 3990'</t>
  </si>
  <si>
    <t>7" @ 11,810'</t>
  </si>
  <si>
    <t>4-1/2" @ 12035'</t>
  </si>
  <si>
    <t>11835-11935</t>
  </si>
  <si>
    <t>11858-11873 MD</t>
  </si>
  <si>
    <t>11883-11602</t>
  </si>
  <si>
    <t>0902120179</t>
  </si>
  <si>
    <t>4 1/2" liner 11423-12035' MD</t>
  </si>
  <si>
    <t>1149AHL</t>
  </si>
  <si>
    <t>CL&amp;CC #27-3AHL</t>
  </si>
  <si>
    <t>81FSL&amp;2072FELof sec 27</t>
  </si>
  <si>
    <t>0902120179-01</t>
  </si>
  <si>
    <t>Alternate PA Number: 306477</t>
  </si>
  <si>
    <t>OG_1150</t>
  </si>
  <si>
    <t>CL&amp;CC #28-4</t>
  </si>
  <si>
    <t>DIL CNLDN BHCS</t>
  </si>
  <si>
    <t>4S28 51S 34E</t>
  </si>
  <si>
    <t>25° 59' 55.32145" N</t>
  </si>
  <si>
    <t>80° 55' 28.16551" W</t>
  </si>
  <si>
    <t>1651'FSL&amp;809'FEL</t>
  </si>
  <si>
    <t>W'LY 1199'N'LY 1430'</t>
  </si>
  <si>
    <t>20"-240'</t>
  </si>
  <si>
    <t>13-3/8"-2149'</t>
  </si>
  <si>
    <t>9-5/8"-3995'</t>
  </si>
  <si>
    <t>7"-11,395'</t>
  </si>
  <si>
    <t>2.875"-9000'</t>
  </si>
  <si>
    <t>11428-488</t>
  </si>
  <si>
    <t>77BLS-24HR</t>
  </si>
  <si>
    <t>51BLS-24HR</t>
  </si>
  <si>
    <t>11438'-11457'</t>
  </si>
  <si>
    <t>11472-10844,3940-705,2250-1790,1380,1060-960,300</t>
  </si>
  <si>
    <t>0902120183</t>
  </si>
  <si>
    <t>OG_1151</t>
  </si>
  <si>
    <t>A DUDA &amp; SONS #3-2</t>
  </si>
  <si>
    <t>DIL BHCS CNLD TEMP DIP DIR</t>
  </si>
  <si>
    <t>2S3 45S 28E</t>
  </si>
  <si>
    <t>26° 35' 47.36744" N</t>
  </si>
  <si>
    <t>81° 30' 41.7743" W</t>
  </si>
  <si>
    <t>1575'FNL&amp;1563 FWL</t>
  </si>
  <si>
    <t>13-3/8" 1578'</t>
  </si>
  <si>
    <t>9-5/8" 3818'</t>
  </si>
  <si>
    <t>5-1/2" 11468'</t>
  </si>
  <si>
    <t>2-7/8" 11158'</t>
  </si>
  <si>
    <t>11382-11454</t>
  </si>
  <si>
    <t>11398-11424</t>
  </si>
  <si>
    <t>151 BOPD</t>
  </si>
  <si>
    <t>577 BSWPD</t>
  </si>
  <si>
    <t>11420-11427</t>
  </si>
  <si>
    <t>11466-11111</t>
  </si>
  <si>
    <t>0905120110</t>
  </si>
  <si>
    <t>OG_1152</t>
  </si>
  <si>
    <t>A DUDA &amp; SONS #3-3</t>
  </si>
  <si>
    <t>3S3 45S 28E</t>
  </si>
  <si>
    <t>26° 35' 23.79054" N</t>
  </si>
  <si>
    <t>81° 30' 42.29025" W</t>
  </si>
  <si>
    <t>1306'FSL&amp;1273'FWL</t>
  </si>
  <si>
    <t>OG_1153</t>
  </si>
  <si>
    <t>DIL BHCS CALIP</t>
  </si>
  <si>
    <t>2S20 45S 28E</t>
  </si>
  <si>
    <t>26° 33' 9.92689" N</t>
  </si>
  <si>
    <t>81° 32' 41.10205" W</t>
  </si>
  <si>
    <t>1522'FNL&amp;891'FWL</t>
  </si>
  <si>
    <t>20" 226'</t>
  </si>
  <si>
    <t>13-3/8" 1714'</t>
  </si>
  <si>
    <t>9-5/8" 3600'</t>
  </si>
  <si>
    <t>7" 1600'</t>
  </si>
  <si>
    <t>2-7/8" 10507'</t>
  </si>
  <si>
    <t>11465-11525</t>
  </si>
  <si>
    <t>482 BSWPD</t>
  </si>
  <si>
    <t>11481-11490</t>
  </si>
  <si>
    <t>10423-11600,3262-3552,4-1740</t>
  </si>
  <si>
    <t>0905120112</t>
  </si>
  <si>
    <t>OG_1154</t>
  </si>
  <si>
    <t>H M ATKINS ETUX #24-2</t>
  </si>
  <si>
    <t>DIL BHCS CNLD CDL ML SONICPOR DIR</t>
  </si>
  <si>
    <t>2S24 4N 26W</t>
  </si>
  <si>
    <t>30° 50' 24.15769" N</t>
  </si>
  <si>
    <t>86° 48' 5.87427" W</t>
  </si>
  <si>
    <t>1270'FNL&amp;1270'FWL</t>
  </si>
  <si>
    <t>16" 129'</t>
  </si>
  <si>
    <t>9-5/8" 3597'</t>
  </si>
  <si>
    <t>14856-14870</t>
  </si>
  <si>
    <t>14300-15350 3400-3700 1434-1706 140-30</t>
  </si>
  <si>
    <t>0911320220</t>
  </si>
  <si>
    <t>OG_1155</t>
  </si>
  <si>
    <t>M C BOLEY #28-3</t>
  </si>
  <si>
    <t>3S28 5N 31W</t>
  </si>
  <si>
    <t>30° 55' 0.20186" N</t>
  </si>
  <si>
    <t>87° 20' 56.76317" W</t>
  </si>
  <si>
    <t>1000'FSL&amp;1250'FWL</t>
  </si>
  <si>
    <t>OG_1156</t>
  </si>
  <si>
    <t>SRPC #32-2</t>
  </si>
  <si>
    <t>2S32 5N 31W</t>
  </si>
  <si>
    <t>30° 54' 46.64246" N</t>
  </si>
  <si>
    <t>87° 21' 51.28585" W</t>
  </si>
  <si>
    <t>400'FNL&amp;1840'FWL</t>
  </si>
  <si>
    <t>OG_1157</t>
  </si>
  <si>
    <t>SRPC #32-1</t>
  </si>
  <si>
    <t>1S32 5N 31W</t>
  </si>
  <si>
    <t>30° 54' 41.55829" N</t>
  </si>
  <si>
    <t>87° 21' 32.95616" W</t>
  </si>
  <si>
    <t>900'FNL&amp;1850'FEL</t>
  </si>
  <si>
    <t>OG_1158</t>
  </si>
  <si>
    <t>CTLC #29-4</t>
  </si>
  <si>
    <t>4S29 44S 27E</t>
  </si>
  <si>
    <t>26° 37' 30.22468" N</t>
  </si>
  <si>
    <t>81° 38' 32.34768" W</t>
  </si>
  <si>
    <t>1320 FSL 1320 FEL OF SEC 29</t>
  </si>
  <si>
    <t>9-5/8" 3610</t>
  </si>
  <si>
    <t>12676-12736</t>
  </si>
  <si>
    <t>12400-12836 3422-3710 1590-1670 1050-1565 35-150</t>
  </si>
  <si>
    <t>0907120081-01</t>
  </si>
  <si>
    <t>Reentry of P# 1014</t>
  </si>
  <si>
    <t>OG_1159</t>
  </si>
  <si>
    <t>DELTA ENERGY RESOURCES INC, MCMORAN EXPL</t>
  </si>
  <si>
    <t>J ED GOLDEN ETAL #22-1</t>
  </si>
  <si>
    <t>DIL BHCS CNLDN MUDLOG CYBER</t>
  </si>
  <si>
    <t>1S22 3N 28W</t>
  </si>
  <si>
    <t>30° 45' 32.88146" N</t>
  </si>
  <si>
    <t>87° 1' 43.65944" W</t>
  </si>
  <si>
    <t>1032'FNL&amp;1029'FEL</t>
  </si>
  <si>
    <t>16" 120'</t>
  </si>
  <si>
    <t>9-5/8" 3887'</t>
  </si>
  <si>
    <t>16228-16637</t>
  </si>
  <si>
    <t>15700-16700 3637-3937 1900-2100 23-48</t>
  </si>
  <si>
    <t>0911320226</t>
  </si>
  <si>
    <t>OG_1160</t>
  </si>
  <si>
    <t>R. W. BLACKMON, JR #16-1</t>
  </si>
  <si>
    <t>1S16 5N 29W</t>
  </si>
  <si>
    <t>30° 56' 54.35027" N</t>
  </si>
  <si>
    <t>87° 6' 33.8134" W</t>
  </si>
  <si>
    <t>1165'FNL&amp;1282'FEL</t>
  </si>
  <si>
    <t>16" 90'</t>
  </si>
  <si>
    <t>10-3/4" 3782'</t>
  </si>
  <si>
    <t>SEE FOLLOW-UP</t>
  </si>
  <si>
    <t>3400-3900 1350-1750 24-74</t>
  </si>
  <si>
    <t>0911320221</t>
  </si>
  <si>
    <t>OG_1161</t>
  </si>
  <si>
    <t>REYNOLDS DRILLING CO</t>
  </si>
  <si>
    <t>DAISY L GRIMES ETAL #33-4</t>
  </si>
  <si>
    <t>4S33 6N 31W</t>
  </si>
  <si>
    <t>30° 59' 20.62666" N</t>
  </si>
  <si>
    <t>87° 20' 21.30432" W</t>
  </si>
  <si>
    <t>1150'FSL&amp;1500'FEL</t>
  </si>
  <si>
    <t>OG_1162</t>
  </si>
  <si>
    <t>CL&amp;CC #27-2</t>
  </si>
  <si>
    <t>DIL BHCS GRN DIP DIR</t>
  </si>
  <si>
    <t>2S28 51S 34E</t>
  </si>
  <si>
    <t>25° 59' 57.29511" N</t>
  </si>
  <si>
    <t>80° 55' 27.88162" W</t>
  </si>
  <si>
    <t>1986'FSL&amp;745'FEL of Sec 28</t>
  </si>
  <si>
    <t>1320 FNL 1320 FWL OF SEC 27</t>
  </si>
  <si>
    <t>20" 230'</t>
  </si>
  <si>
    <t>13-3/8" 2145'</t>
  </si>
  <si>
    <t>9-5/8" 4019</t>
  </si>
  <si>
    <t>7" 12160'</t>
  </si>
  <si>
    <t>2-7/8" 6000'</t>
  </si>
  <si>
    <t>12179-12276</t>
  </si>
  <si>
    <t>43 BOPD</t>
  </si>
  <si>
    <t>610 BWPD</t>
  </si>
  <si>
    <t>12202-12230</t>
  </si>
  <si>
    <t>12240-11550,3969-3742,2350-1944,1440-1380,600-710</t>
  </si>
  <si>
    <t>0902120182</t>
  </si>
  <si>
    <t>OG_1163</t>
  </si>
  <si>
    <t>CL&amp;CC #28-1</t>
  </si>
  <si>
    <t>1S28 51S 34E</t>
  </si>
  <si>
    <t>26° 0' 0.53446" N</t>
  </si>
  <si>
    <t>80° 55' 27.48475" W</t>
  </si>
  <si>
    <t>2156'FSL&amp;733'FEL of Sec 28</t>
  </si>
  <si>
    <t>1320 FNL 1320 FEL OF SEC 28</t>
  </si>
  <si>
    <t>OG_1164</t>
  </si>
  <si>
    <t>WOLFE HENDRICKS #36-1A</t>
  </si>
  <si>
    <t>DIL CNLDN BHCS CYBERLOOK, ML, REPEAT FM TESTER</t>
  </si>
  <si>
    <t>30° 59' 25.16198" N</t>
  </si>
  <si>
    <t>87° 7' 31.58675" W</t>
  </si>
  <si>
    <t>1918'FNL&amp;3884'FWL</t>
  </si>
  <si>
    <t>1918 FNL 3884 FWL</t>
  </si>
  <si>
    <t>16" 128'</t>
  </si>
  <si>
    <t>10-3/4" 3879'</t>
  </si>
  <si>
    <t>14990-15050</t>
  </si>
  <si>
    <t>14200-15102 3700-4100 1550-1750 38-88</t>
  </si>
  <si>
    <t>0911320223</t>
  </si>
  <si>
    <t>OG_1165</t>
  </si>
  <si>
    <t>A KAPLAN TRUSTEE ETAL #32-1</t>
  </si>
  <si>
    <t>1S32 45S 27E</t>
  </si>
  <si>
    <t>26° 31' 20.78519" N</t>
  </si>
  <si>
    <t>81° 37' 57.24124" W</t>
  </si>
  <si>
    <t>1412'FNL&amp;1208'FEL</t>
  </si>
  <si>
    <t>20" 238'</t>
  </si>
  <si>
    <t>13-3/8" 1695'</t>
  </si>
  <si>
    <t>9-5/8" 3712'</t>
  </si>
  <si>
    <t>11513-11573</t>
  </si>
  <si>
    <t>11322-11742 3542-3804 1499-1761 31-151</t>
  </si>
  <si>
    <t>0907120087</t>
  </si>
  <si>
    <t>OG_1166</t>
  </si>
  <si>
    <t>COLLIER CO #36-2</t>
  </si>
  <si>
    <t>2S36 48S 29E</t>
  </si>
  <si>
    <t>26° 15' 44.54379" N</t>
  </si>
  <si>
    <t>81° 22' 44.02045" W</t>
  </si>
  <si>
    <t>1283'FNL&amp;1358'FWL</t>
  </si>
  <si>
    <t>OG_1167</t>
  </si>
  <si>
    <t>CL&amp;CC #22-3</t>
  </si>
  <si>
    <t>26° 0' 3.29267" N</t>
  </si>
  <si>
    <t>80° 55' 27.20161" W</t>
  </si>
  <si>
    <t>2843'FNL&amp;669'FEL of Sec 28</t>
  </si>
  <si>
    <t>1320 FSL 1320 FWL OF SEC 22</t>
  </si>
  <si>
    <t>20" 190'</t>
  </si>
  <si>
    <t>9-5/8" 3973</t>
  </si>
  <si>
    <t>7" 13393</t>
  </si>
  <si>
    <t>2-7/8" 13403</t>
  </si>
  <si>
    <t>13440-13563</t>
  </si>
  <si>
    <t>214BSWPD</t>
  </si>
  <si>
    <t>13471-78, 13501-24</t>
  </si>
  <si>
    <t>13006-13667 3719-4220 2122-2264 4-117</t>
  </si>
  <si>
    <t>0902120185</t>
  </si>
  <si>
    <t>OG_1168</t>
  </si>
  <si>
    <t>CL&amp;CC #21-4</t>
  </si>
  <si>
    <t>26° 0' 2.35076" N</t>
  </si>
  <si>
    <t>80° 55' 26.89288" W</t>
  </si>
  <si>
    <t>3014'FNL&amp;681'FEL of Sec 28</t>
  </si>
  <si>
    <t>1320 FSL 1320 FEL OF SEC 21</t>
  </si>
  <si>
    <t>OG_1169</t>
  </si>
  <si>
    <t>BROWARD</t>
  </si>
  <si>
    <t>PACIFIC ENTERPRISES ROYALTY (WAS SABINE CORP)</t>
  </si>
  <si>
    <t>MICCOSUKEE #32-1</t>
  </si>
  <si>
    <t>DIL BHCS CNLDN DIP ML CPL CORE DESCR</t>
  </si>
  <si>
    <t>MICCOSUKEE INDIAN RESERVA</t>
  </si>
  <si>
    <t>1S32 49S 35E</t>
  </si>
  <si>
    <t>26° 11' 8.03058" N</t>
  </si>
  <si>
    <t>80° 51' 7.56943" W</t>
  </si>
  <si>
    <t>1616'FNL&amp;2310'FEL</t>
  </si>
  <si>
    <t>20" 244'</t>
  </si>
  <si>
    <t>13-3/8" 2129'</t>
  </si>
  <si>
    <t>11371-11604</t>
  </si>
  <si>
    <t>11300-11550 3710-3960 1968-2218 56-181</t>
  </si>
  <si>
    <t>0901120001</t>
  </si>
  <si>
    <t>OG_1170</t>
  </si>
  <si>
    <t>CORKSCREW</t>
  </si>
  <si>
    <t>REX PROPERTIES #33-2</t>
  </si>
  <si>
    <t>DIL CNLDN DIP ML</t>
  </si>
  <si>
    <t>2S33 46S 28E</t>
  </si>
  <si>
    <t>26° 26' 8.08262" N</t>
  </si>
  <si>
    <t>81° 31' 36.8889" W</t>
  </si>
  <si>
    <t>1440'FNL&amp;952'FWL</t>
  </si>
  <si>
    <t>13-3/8" 1846'</t>
  </si>
  <si>
    <t>9-5/8" 4008'</t>
  </si>
  <si>
    <t>7" 11547'</t>
  </si>
  <si>
    <t>2-7/8" 9657'</t>
  </si>
  <si>
    <t>11536-11563</t>
  </si>
  <si>
    <t>435 BOPD</t>
  </si>
  <si>
    <t>OH 11537-11565</t>
  </si>
  <si>
    <t>0902120187</t>
  </si>
  <si>
    <t>Corkscrew Field discovery well</t>
  </si>
  <si>
    <t>OG_1171</t>
  </si>
  <si>
    <t>HRUBETZ OIL CO</t>
  </si>
  <si>
    <t>R R STAFFORD #3-1</t>
  </si>
  <si>
    <t>1S3 4N 21W</t>
  </si>
  <si>
    <t>30° 52' 34.11642" N</t>
  </si>
  <si>
    <t>86° 19' 34.95623" W</t>
  </si>
  <si>
    <t>1762'FNL&amp;1235'FEL</t>
  </si>
  <si>
    <t>OG_1172</t>
  </si>
  <si>
    <t>CITIES SERVICE OIL &amp; GAS CORP</t>
  </si>
  <si>
    <t>LIZENBY #5-3</t>
  </si>
  <si>
    <t>DIL BHCS CNLDN DIP CPL DIGWELLSEIS</t>
  </si>
  <si>
    <t>3S5 5N 32W</t>
  </si>
  <si>
    <t>30° 58' 42.55403" N</t>
  </si>
  <si>
    <t>87° 27' 53.97012" W</t>
  </si>
  <si>
    <t>1621'FSL&amp;1540'FWL</t>
  </si>
  <si>
    <t>10-3/4" 4064'</t>
  </si>
  <si>
    <t>7-3/4" 15400'</t>
  </si>
  <si>
    <t>16329-16488</t>
  </si>
  <si>
    <t>OH 15400-16600</t>
  </si>
  <si>
    <t>15800-16800 3800-4400 1900-2100 27-52</t>
  </si>
  <si>
    <t>0903320041</t>
  </si>
  <si>
    <t>OG_1173</t>
  </si>
  <si>
    <t>INEXCO OIL CO, LL&amp;E</t>
  </si>
  <si>
    <t>PITTMAN ESTATE #26-2</t>
  </si>
  <si>
    <t>DIL BHCS CNLDN DIP ML DIR BLKDENS</t>
  </si>
  <si>
    <t>30° 55' 53.06581" N</t>
  </si>
  <si>
    <t>87° 5' 55.68432" W</t>
  </si>
  <si>
    <t>2076'FNL&amp;2229'FWL</t>
  </si>
  <si>
    <t>10-3/4" 3734'</t>
  </si>
  <si>
    <t>14800-15586 3555-3905 950-1450 19-74</t>
  </si>
  <si>
    <t>0911320235</t>
  </si>
  <si>
    <t xml:space="preserve">Coldwater Creek Field discovery well/reentered and issued P#1220 </t>
  </si>
  <si>
    <t>OG_1174</t>
  </si>
  <si>
    <t>CL&amp;CC #27-4</t>
  </si>
  <si>
    <t>4S27 51S 34E</t>
  </si>
  <si>
    <t>26° 0' 7.04704" N</t>
  </si>
  <si>
    <t>80° 54' 41.13257" W</t>
  </si>
  <si>
    <t>2651'FNL&amp;1738'FEL</t>
  </si>
  <si>
    <t>WITHDRAWN</t>
  </si>
  <si>
    <t>OG_1175</t>
  </si>
  <si>
    <t>CL&amp;CC #2-4</t>
  </si>
  <si>
    <t>25° 58' 37.98376" N</t>
  </si>
  <si>
    <t>80° 54' 12.78853" W</t>
  </si>
  <si>
    <t xml:space="preserve">873'FNL&amp;725'FWL </t>
  </si>
  <si>
    <t>2000 FSL 1600 FEL OF SEC 2</t>
  </si>
  <si>
    <t>OG_1176</t>
  </si>
  <si>
    <t>J M HUBER CORP</t>
  </si>
  <si>
    <t>LYKES BROS #25-2</t>
  </si>
  <si>
    <t>2S25 39S 31E</t>
  </si>
  <si>
    <t>27° 3' 30.35003" N</t>
  </si>
  <si>
    <t>81° 10' 48.12746" W</t>
  </si>
  <si>
    <t>1345'FNL&amp;1320'FWL</t>
  </si>
  <si>
    <t>OG_1177</t>
  </si>
  <si>
    <t>PRIMARY FUELS INC</t>
  </si>
  <si>
    <t>ROBERT O'FARRELL #22-2</t>
  </si>
  <si>
    <t>2S22 5N 32W</t>
  </si>
  <si>
    <t>30° 56' 27.9419" N</t>
  </si>
  <si>
    <t>87° 25' 59.05625" W</t>
  </si>
  <si>
    <t>1133'FNL&amp;1277'FWL</t>
  </si>
  <si>
    <t>10-3/4" 4150'</t>
  </si>
  <si>
    <t>7-5/8" 15514'</t>
  </si>
  <si>
    <t>16485-16552</t>
  </si>
  <si>
    <t>15445-16834 3950-4829 1900-2100 31-60</t>
  </si>
  <si>
    <t>0903320042</t>
  </si>
  <si>
    <t>OG_1178</t>
  </si>
  <si>
    <t>SPOONER PETROLEUM CO</t>
  </si>
  <si>
    <t>CHAMPION INTERNATIONAL #5-4</t>
  </si>
  <si>
    <t>DIL CNLDN DIP DISFL ML</t>
  </si>
  <si>
    <t>4S5 3N 28W</t>
  </si>
  <si>
    <t>30° 47' 40.19684" N</t>
  </si>
  <si>
    <t>87° 3' 42.86448" W</t>
  </si>
  <si>
    <t>1048'FSL&amp;1064'FEL</t>
  </si>
  <si>
    <t>9-5/8" 3780'</t>
  </si>
  <si>
    <t>16075-16115</t>
  </si>
  <si>
    <t>15500-16580 3391-3891 924-1424 20-70</t>
  </si>
  <si>
    <t>0911320231</t>
  </si>
  <si>
    <t>OG_1179</t>
  </si>
  <si>
    <t>E.G.JEFFREYS ETAL #6-5</t>
  </si>
  <si>
    <t>DIFL CND-GR BHC-GR TEMP DIELEC-GR MINILOG</t>
  </si>
  <si>
    <t>30° 58' 5.77933" N</t>
  </si>
  <si>
    <t>87° 9' 25.57738" W</t>
  </si>
  <si>
    <t>350'FSL&amp;610'FEL</t>
  </si>
  <si>
    <t>10-3/4" 3714'</t>
  </si>
  <si>
    <t>7" 15813'</t>
  </si>
  <si>
    <t>3-1/2" 15363'</t>
  </si>
  <si>
    <t>15375-15736</t>
  </si>
  <si>
    <t>588 BOPD</t>
  </si>
  <si>
    <t>2298 BSWPD</t>
  </si>
  <si>
    <t>15577-15641</t>
  </si>
  <si>
    <t>0911320228</t>
  </si>
  <si>
    <t>EPA ID # FLS1130070/EPA P# FLI0035</t>
  </si>
  <si>
    <t>OG_1180</t>
  </si>
  <si>
    <t>E G JEFFREYS ETAL #6-6</t>
  </si>
  <si>
    <t>DIL-SFL CNLD MICRISFL DIR ELMAGPROP</t>
  </si>
  <si>
    <t>30° 58' 25.05308" N</t>
  </si>
  <si>
    <t>87° 9' 28.41032" W</t>
  </si>
  <si>
    <t>2282'FSL&amp;884'FEL</t>
  </si>
  <si>
    <t>16" 123'</t>
  </si>
  <si>
    <t>10-3/4" 3911'</t>
  </si>
  <si>
    <t>7" 15778'</t>
  </si>
  <si>
    <t>2-7/8" 15424'</t>
  </si>
  <si>
    <t>15419-15664</t>
  </si>
  <si>
    <t>354 BOPD</t>
  </si>
  <si>
    <t>1608 MCFPD</t>
  </si>
  <si>
    <t>3836 BSWPD</t>
  </si>
  <si>
    <t>15435-15715</t>
  </si>
  <si>
    <t>0911320227</t>
  </si>
  <si>
    <t>OG_1181</t>
  </si>
  <si>
    <t>PALMER PETROLEUM INC</t>
  </si>
  <si>
    <t>VINING #2-11</t>
  </si>
  <si>
    <t>DIL-SFL CNLD BHCS TEMP</t>
  </si>
  <si>
    <t>1S2 4S 12E</t>
  </si>
  <si>
    <t>30° 10' 19.4075" N</t>
  </si>
  <si>
    <t>83° 4' 57.58968" W</t>
  </si>
  <si>
    <t>563'FNL&amp;752'FEL</t>
  </si>
  <si>
    <t>30" 71'</t>
  </si>
  <si>
    <t>13-3/8" 1799'</t>
  </si>
  <si>
    <t>1620-2020 877-1150 21-76</t>
  </si>
  <si>
    <t>0912120004</t>
  </si>
  <si>
    <t>OG_1182</t>
  </si>
  <si>
    <t>SEMINOLE EXPLORATION CO</t>
  </si>
  <si>
    <t>SEMINOLE TRIBE #4-3</t>
  </si>
  <si>
    <t>3S4 48S 33E</t>
  </si>
  <si>
    <t>26° 19' 56.85283" N</t>
  </si>
  <si>
    <t>81° 2' 17.66404" W</t>
  </si>
  <si>
    <t>1062'FSL&amp;1613'FWL</t>
  </si>
  <si>
    <t>OG_1183</t>
  </si>
  <si>
    <t>HUGHES-RUTLEDGE #9-4</t>
  </si>
  <si>
    <t>ML DIR</t>
  </si>
  <si>
    <t>4S9 44S 26E</t>
  </si>
  <si>
    <t>1185'FNL&amp;2464'FWL</t>
  </si>
  <si>
    <t>2354 FSL 1349 FEL OF SEC 9</t>
  </si>
  <si>
    <t>13-3/8" 1539'</t>
  </si>
  <si>
    <t>9-5/8" 3724'</t>
  </si>
  <si>
    <t>11760-11835</t>
  </si>
  <si>
    <t>11420-11820 3600-3850 1400-1660 25-175</t>
  </si>
  <si>
    <t>0907120085-01</t>
  </si>
  <si>
    <t>Reentry of P# 1124</t>
  </si>
  <si>
    <t>OG_1184</t>
  </si>
  <si>
    <t>SRPC #29-3 SWDW</t>
  </si>
  <si>
    <t>CBL</t>
  </si>
  <si>
    <t>1901'FSL&amp; 1535'FWL</t>
  </si>
  <si>
    <t>20" 120'</t>
  </si>
  <si>
    <t>10-3/4" 3904'</t>
  </si>
  <si>
    <t>5-1/2" @2789'</t>
  </si>
  <si>
    <t>2-7/8" 3004'</t>
  </si>
  <si>
    <t>2984-3004</t>
  </si>
  <si>
    <t>4'-3004'</t>
  </si>
  <si>
    <t>Reentry of P# 1136-EPA ID # FLS1130046/FLI0015</t>
  </si>
  <si>
    <t>OG_1185</t>
  </si>
  <si>
    <t>CHAMPION INTERNATIONAL #3-4</t>
  </si>
  <si>
    <t>DIFL BHC-GR CNLD-GR ML DIP DIR DIFL-BHC-GR FMTST</t>
  </si>
  <si>
    <t>4S3 3N 30W</t>
  </si>
  <si>
    <t>30° 47' 53.95303" N</t>
  </si>
  <si>
    <t>87° 13' 53.86002" W</t>
  </si>
  <si>
    <t>16"@100'</t>
  </si>
  <si>
    <t>10-3/4"@4060'</t>
  </si>
  <si>
    <t>see followup</t>
  </si>
  <si>
    <t>15927-17050 3810-4210 802-1302 27-58</t>
  </si>
  <si>
    <t>0911320229</t>
  </si>
  <si>
    <t>OG_1186</t>
  </si>
  <si>
    <t>COLLIER CO #27-4</t>
  </si>
  <si>
    <t>4S27 49S 34E</t>
  </si>
  <si>
    <t>26° 11' 24.2033" N</t>
  </si>
  <si>
    <t>80° 54' 56.42078" W</t>
  </si>
  <si>
    <t>OG_1187</t>
  </si>
  <si>
    <t>SRPC #5-10</t>
  </si>
  <si>
    <t>DILSFL CNLD BHCS LSSONIC</t>
  </si>
  <si>
    <t>30° 58' 42.55653" N</t>
  </si>
  <si>
    <t>87° 9' 5.87159" W</t>
  </si>
  <si>
    <t>1085'FNL&amp;1010'FWL</t>
  </si>
  <si>
    <t>975 FNL 1100 FWL</t>
  </si>
  <si>
    <t>16" 70'</t>
  </si>
  <si>
    <t>10-3/4" 3898'</t>
  </si>
  <si>
    <t>7" 15798'</t>
  </si>
  <si>
    <t>3-1/2" 15662</t>
  </si>
  <si>
    <t>15618-15747</t>
  </si>
  <si>
    <t>1240 BOPD</t>
  </si>
  <si>
    <t>1454 MCFPD</t>
  </si>
  <si>
    <t>48 BSWPD</t>
  </si>
  <si>
    <t>15725-15740</t>
  </si>
  <si>
    <t>15771-14600 9751-10150 3601-3950 1493-1709 5-55</t>
  </si>
  <si>
    <t>0911320232</t>
  </si>
  <si>
    <t>OG_1188</t>
  </si>
  <si>
    <t xml:space="preserve">SRPC#14-6 </t>
  </si>
  <si>
    <t>30° 51' 4.05944" N</t>
  </si>
  <si>
    <t>87° 6' 32.98261" W</t>
  </si>
  <si>
    <t xml:space="preserve">205'FSL&amp;400'FEL </t>
  </si>
  <si>
    <t>750'FSL&amp;100'FEL</t>
  </si>
  <si>
    <t>10-3/4" 3952'</t>
  </si>
  <si>
    <t>15769-15793 15843-15950</t>
  </si>
  <si>
    <t>15293-16075 3810-4102 1848-1999 33-147</t>
  </si>
  <si>
    <t>0911320233</t>
  </si>
  <si>
    <t>1188A</t>
  </si>
  <si>
    <t>SRPC#13-5</t>
  </si>
  <si>
    <t>DIL BHC CNLDN</t>
  </si>
  <si>
    <t>205'FSL&amp;400'FEL</t>
  </si>
  <si>
    <t>684'N &amp; 864'E OF SURF LOCATION</t>
  </si>
  <si>
    <t>16"@ 126'</t>
  </si>
  <si>
    <t>10-3/4"@ 3952'</t>
  </si>
  <si>
    <t>15769-15950</t>
  </si>
  <si>
    <t>16075-15293,4102-3810,1999-1848,1848-1721</t>
  </si>
  <si>
    <t>0911320233-01</t>
  </si>
  <si>
    <t>OG_1189</t>
  </si>
  <si>
    <t>SRPC #5-8</t>
  </si>
  <si>
    <t>30° 58' 26.16175" N</t>
  </si>
  <si>
    <t>87° 8' 50.04931" W</t>
  </si>
  <si>
    <t>2175'FSL&amp;2424'FWL</t>
  </si>
  <si>
    <t>1750 FSL 2475 FWL</t>
  </si>
  <si>
    <t>OG_1190</t>
  </si>
  <si>
    <t>25° 58' 38.19301" N</t>
  </si>
  <si>
    <t>80° 54' 12.57958" W</t>
  </si>
  <si>
    <t>873'FNL&amp;755'FWL</t>
  </si>
  <si>
    <t>20" 283'</t>
  </si>
  <si>
    <t>13-3/8" 2113'</t>
  </si>
  <si>
    <t>7" 13172'</t>
  </si>
  <si>
    <t>2-7/8" 7795'</t>
  </si>
  <si>
    <t>13284-13324</t>
  </si>
  <si>
    <t>2 MCFPD</t>
  </si>
  <si>
    <t>193 BSWPD</t>
  </si>
  <si>
    <t>13192-13310</t>
  </si>
  <si>
    <t>13220-12811</t>
  </si>
  <si>
    <t>0902120188</t>
  </si>
  <si>
    <t>1190AH</t>
  </si>
  <si>
    <t>CL&amp;CC 1-2AH</t>
  </si>
  <si>
    <t>LITH DIR GR CBL</t>
  </si>
  <si>
    <t>S2 52S 34E</t>
  </si>
  <si>
    <t>1362'S &amp; 5424'E OF SHL</t>
  </si>
  <si>
    <t>20" @ 283'</t>
  </si>
  <si>
    <t>13-3/8" @ 2113'</t>
  </si>
  <si>
    <t>7" 13192'</t>
  </si>
  <si>
    <t>2-7/8"@13139'</t>
  </si>
  <si>
    <t>110.95 BOPD</t>
  </si>
  <si>
    <t>8.987 MCFD</t>
  </si>
  <si>
    <t>1347 BWPD</t>
  </si>
  <si>
    <t>OH HZ 13188-16170 MD</t>
  </si>
  <si>
    <t>0902120188-01</t>
  </si>
  <si>
    <t>OG_1191</t>
  </si>
  <si>
    <t>SRPC #5-9</t>
  </si>
  <si>
    <t>DISFL BHCS CNLD PROP TEMP CYBER DIR FMTST MICROSFL</t>
  </si>
  <si>
    <t>30° 58' 23.90936" N</t>
  </si>
  <si>
    <t>87° 8' 55.74253" W</t>
  </si>
  <si>
    <t>2266'FSL&amp;1974'FWL</t>
  </si>
  <si>
    <t>2025 FSL 1750 FWL</t>
  </si>
  <si>
    <t>16" 118'</t>
  </si>
  <si>
    <t>10-3/4" 3840'</t>
  </si>
  <si>
    <t>7" 15873'</t>
  </si>
  <si>
    <t>3-1/2" 15548'</t>
  </si>
  <si>
    <t>15580-15772</t>
  </si>
  <si>
    <t>606 BOPD</t>
  </si>
  <si>
    <t>1320 MCFPD</t>
  </si>
  <si>
    <t>2468 BSWPD</t>
  </si>
  <si>
    <t>15658-15683</t>
  </si>
  <si>
    <t>0911320230</t>
  </si>
  <si>
    <t>OG_1192</t>
  </si>
  <si>
    <t>LEON THOMAS ETAL #40-2B</t>
  </si>
  <si>
    <t>DIFL-GR CNLD-GR BHC-GR TEMP DIR</t>
  </si>
  <si>
    <t>30° 57' 55.0152" N</t>
  </si>
  <si>
    <t>87° 8' 58.4484" W</t>
  </si>
  <si>
    <t>710'FNL&amp;485'FWL</t>
  </si>
  <si>
    <t>620 FNL 590 FWL</t>
  </si>
  <si>
    <t>16" 124'</t>
  </si>
  <si>
    <t>10-3/4" 3731'</t>
  </si>
  <si>
    <t>7" 15760'</t>
  </si>
  <si>
    <t>2-7/8" 15406'</t>
  </si>
  <si>
    <t>15390-15700</t>
  </si>
  <si>
    <t>319 BOPD</t>
  </si>
  <si>
    <t>548 MCFPD</t>
  </si>
  <si>
    <t>588 BSWPD</t>
  </si>
  <si>
    <t>15402-15682</t>
  </si>
  <si>
    <t>0911320234</t>
  </si>
  <si>
    <t>OG_1193</t>
  </si>
  <si>
    <t>LYKES BROS INC #26-2</t>
  </si>
  <si>
    <t>DISFL BHCS CDT-CNL-GR CYBER-TEMP ML</t>
  </si>
  <si>
    <t>2S26 39S 31E</t>
  </si>
  <si>
    <t>27° 3' 29.42186" N</t>
  </si>
  <si>
    <t>81° 11' 41.6008" W</t>
  </si>
  <si>
    <t>1400'FNL&amp;1850'FWL</t>
  </si>
  <si>
    <t>13-3/8" 1613'</t>
  </si>
  <si>
    <t>9-5/8" 3768'</t>
  </si>
  <si>
    <t>3593-3893,1464-1989,173-27</t>
  </si>
  <si>
    <t>0904320001</t>
  </si>
  <si>
    <t>OG_1194</t>
  </si>
  <si>
    <t>McLELLAN</t>
  </si>
  <si>
    <t>STATE OF FLORIDA #33-1</t>
  </si>
  <si>
    <t>DISFL TEMP ML DIR LSSONIC CNLD BHCS CYBER</t>
  </si>
  <si>
    <t>1S33 6N 26W</t>
  </si>
  <si>
    <t>30° 59' 7.97933" N</t>
  </si>
  <si>
    <t>86° 50' 23.98284" W</t>
  </si>
  <si>
    <t>1101'FNL&amp;1186'FEL</t>
  </si>
  <si>
    <t>7" 14473'</t>
  </si>
  <si>
    <t>2-7/8" 13954'</t>
  </si>
  <si>
    <t>14036-14203</t>
  </si>
  <si>
    <t>14062-14090</t>
  </si>
  <si>
    <t>0911320237</t>
  </si>
  <si>
    <t>McLellan Field discovery well</t>
  </si>
  <si>
    <t>OG_1195</t>
  </si>
  <si>
    <t>PRUET PRODUCTION CO</t>
  </si>
  <si>
    <t>FLOYD #6-3</t>
  </si>
  <si>
    <t>DIL BHCS CNLDN DIP TL ML</t>
  </si>
  <si>
    <t>30° 52' 53.72236" N</t>
  </si>
  <si>
    <t>87° 5' 10.43596" W</t>
  </si>
  <si>
    <t>1050'FSL&amp;1202'FWL</t>
  </si>
  <si>
    <t>16" 121'</t>
  </si>
  <si>
    <t>9-5/8" 3833'</t>
  </si>
  <si>
    <t>15003-15406</t>
  </si>
  <si>
    <t>14448-15448 3592-3983 957-1460 25-91</t>
  </si>
  <si>
    <t>0911320236</t>
  </si>
  <si>
    <t>OG_1196</t>
  </si>
  <si>
    <t>1S14 50S 32E</t>
  </si>
  <si>
    <t>26° 7' 32.5875" N</t>
  </si>
  <si>
    <t>81° 5' 55.87998" W</t>
  </si>
  <si>
    <t>229'FNL&amp;1225'FWL</t>
  </si>
  <si>
    <t>1323 FNL 1320 FEL</t>
  </si>
  <si>
    <t>OG_1197</t>
  </si>
  <si>
    <t>ELENORA JERNIGAN #29-1</t>
  </si>
  <si>
    <t>1S29 4N 28W</t>
  </si>
  <si>
    <t>30° 49' 56.30722" N</t>
  </si>
  <si>
    <t>87° 3' 27.25751" W</t>
  </si>
  <si>
    <t>920'FNL&amp;1'FEL</t>
  </si>
  <si>
    <t>OG_1198</t>
  </si>
  <si>
    <t>HUFFCO PETROLEUM CORP</t>
  </si>
  <si>
    <t>HUFFCO #31-2</t>
  </si>
  <si>
    <t>2S31 6N 33W</t>
  </si>
  <si>
    <t>30° 59' 39.17375" N</t>
  </si>
  <si>
    <t>87° 34' 58.99876" W</t>
  </si>
  <si>
    <t>1250'FNL&amp;1250'FWL</t>
  </si>
  <si>
    <t>OG_1199</t>
  </si>
  <si>
    <t>RK PETROLEUM CORP,ENEX RES,PENINSULAR OIL CORP.</t>
  </si>
  <si>
    <t>ALDC #32-1</t>
  </si>
  <si>
    <t>CNL-FDC,TEMP,TVD-CNL-FDC,CBL-VDL,GEOPHYS WELL SURV</t>
  </si>
  <si>
    <t>1S33 46S 28E</t>
  </si>
  <si>
    <t>26° 26' 5.38262" N</t>
  </si>
  <si>
    <t>81° 31' 45.28889" W</t>
  </si>
  <si>
    <t>1671'FNL&amp;187'FWL of Sec 33</t>
  </si>
  <si>
    <t>1481 FNL 675 FEL of Sec 32</t>
  </si>
  <si>
    <t>20"@ 208'</t>
  </si>
  <si>
    <t>13-3/8"@1829'</t>
  </si>
  <si>
    <t>9-5/8"@4038'</t>
  </si>
  <si>
    <t>7"@11709'</t>
  </si>
  <si>
    <t>2-7/8" 9103'</t>
  </si>
  <si>
    <t>11695-11718</t>
  </si>
  <si>
    <t>424 BOPD</t>
  </si>
  <si>
    <t>OH 11709-11731 MD</t>
  </si>
  <si>
    <t>0902120189</t>
  </si>
  <si>
    <t>1199A</t>
  </si>
  <si>
    <t>ALDC #32-1A</t>
  </si>
  <si>
    <t>236.5N&amp;908.5S of SHL</t>
  </si>
  <si>
    <t>2 7/8"@7506</t>
  </si>
  <si>
    <t>11728-11737 MD</t>
  </si>
  <si>
    <t>11616-11280</t>
  </si>
  <si>
    <t>0902120189-01</t>
  </si>
  <si>
    <t>1199B</t>
  </si>
  <si>
    <t>ALDC #32-1BH</t>
  </si>
  <si>
    <t>GeoLogPlot CCL GR Bond</t>
  </si>
  <si>
    <t>631FNL/1400FWL Sec 32</t>
  </si>
  <si>
    <t>0902120189-02</t>
  </si>
  <si>
    <t>1199C</t>
  </si>
  <si>
    <t>ALDC #32-1CH</t>
  </si>
  <si>
    <t>825FNL/921FEL Sec 32</t>
  </si>
  <si>
    <t>2-7/8" @ 9315'</t>
  </si>
  <si>
    <t>0902120189-03</t>
  </si>
  <si>
    <t>1199D</t>
  </si>
  <si>
    <t>ALDC #32-1DH</t>
  </si>
  <si>
    <t>7" @ 11699'</t>
  </si>
  <si>
    <t>2 7/8" @ 12030'</t>
  </si>
  <si>
    <t>58 BOPD</t>
  </si>
  <si>
    <t>41 MCFD</t>
  </si>
  <si>
    <t>200 BWPD</t>
  </si>
  <si>
    <t>OH 11941-12030 MD</t>
  </si>
  <si>
    <t>0902120189-04</t>
  </si>
  <si>
    <t>4 1/2" liner @ 10179-12063' MD</t>
  </si>
  <si>
    <t>OG_1200</t>
  </si>
  <si>
    <t>PELTO OIL CO</t>
  </si>
  <si>
    <t>R E SHERRILL #15-2</t>
  </si>
  <si>
    <t>2S15 5N 33W</t>
  </si>
  <si>
    <t>30° 57' 22.35373" N</t>
  </si>
  <si>
    <t>87° 31' 58.90678" W</t>
  </si>
  <si>
    <t>1577'FNL&amp;1522'FWL</t>
  </si>
  <si>
    <t>OG_1201</t>
  </si>
  <si>
    <t>RKPC</t>
  </si>
  <si>
    <t>BERNICE D PEPPER #28-3</t>
  </si>
  <si>
    <t>DISFL FDC-CNL-GR CYBERLOOK LITH</t>
  </si>
  <si>
    <t>3S28 46S 28E</t>
  </si>
  <si>
    <t>26° 26' 29.01644" N</t>
  </si>
  <si>
    <t>81° 31' 28.25714" W</t>
  </si>
  <si>
    <t>671'FSL&amp;1699'FWL</t>
  </si>
  <si>
    <t>1699 FWL 671 FSL</t>
  </si>
  <si>
    <t>20" 218'</t>
  </si>
  <si>
    <t>13-3/8" 1827'</t>
  </si>
  <si>
    <t>9-5/8" 4039'</t>
  </si>
  <si>
    <t>11541-11582</t>
  </si>
  <si>
    <t>11849-11349 9400-8982</t>
  </si>
  <si>
    <t>0902120191</t>
  </si>
  <si>
    <t>1201A</t>
  </si>
  <si>
    <t>BERNICE D PEPPER #28-3A</t>
  </si>
  <si>
    <t>FDC-CNL-GR DISFL CYBERLOOK CDR-CALIPER DIR LITH</t>
  </si>
  <si>
    <t>677 FSL 900 FWL</t>
  </si>
  <si>
    <t>7" 11676'</t>
  </si>
  <si>
    <t>2-7/8" 9904'</t>
  </si>
  <si>
    <t>11556-11667</t>
  </si>
  <si>
    <t>218 BOPD</t>
  </si>
  <si>
    <t>OH 11676-11714 MD</t>
  </si>
  <si>
    <t>0902120191-01</t>
  </si>
  <si>
    <t>OG_1202</t>
  </si>
  <si>
    <t>TO&amp;GC</t>
  </si>
  <si>
    <t>ADC#7-1</t>
  </si>
  <si>
    <t>FDC-CNL-GR DISFL</t>
  </si>
  <si>
    <t>1S7 46S 30E</t>
  </si>
  <si>
    <t>26° 29' 50.65234" N</t>
  </si>
  <si>
    <t>81° 21' 27.17878" W</t>
  </si>
  <si>
    <t>1373'FNL&amp;1258'FEL</t>
  </si>
  <si>
    <t>1373 FNL 1258 FEL</t>
  </si>
  <si>
    <t>20" 116'</t>
  </si>
  <si>
    <t>13-3/8" 1972'</t>
  </si>
  <si>
    <t>9-5/8" 4026'</t>
  </si>
  <si>
    <t>11481-11535</t>
  </si>
  <si>
    <t>11200-11600 4100-3850 1701-1920 22-182</t>
  </si>
  <si>
    <t>0902120190</t>
  </si>
  <si>
    <t>OG_1203</t>
  </si>
  <si>
    <t>CLEMENTS ENERGY INC</t>
  </si>
  <si>
    <t>GERRY BROTHERS #8-4</t>
  </si>
  <si>
    <t>4S8 49S 31E</t>
  </si>
  <si>
    <t>26° 13' 51.38965" N</t>
  </si>
  <si>
    <t>81° 14' 34.27094" W</t>
  </si>
  <si>
    <t>2333'FSL&amp;2115'FEL</t>
  </si>
  <si>
    <t>2333 FSL 2115 FEL</t>
  </si>
  <si>
    <t>OG_1204</t>
  </si>
  <si>
    <t>RALPH J ESTES ETAL #28-3</t>
  </si>
  <si>
    <t>LDT-CNL-GR DISFL-GR DIR</t>
  </si>
  <si>
    <t>30° 54' 59.06999" N</t>
  </si>
  <si>
    <t>87° 21' 2.01049" W</t>
  </si>
  <si>
    <t>869'FSL&amp;800'FWL</t>
  </si>
  <si>
    <t>800 FWL 869 FSL</t>
  </si>
  <si>
    <t>16"@102'</t>
  </si>
  <si>
    <t>9-5/8"@3908'</t>
  </si>
  <si>
    <t>16377-16403</t>
  </si>
  <si>
    <t>15880-16500 3681-4130 750-1250 20-45</t>
  </si>
  <si>
    <t>0903320043</t>
  </si>
  <si>
    <t>OG_1205</t>
  </si>
  <si>
    <t>HUGHES EASTERN PETROLEUM LTD;HUGHES EASTERN CORP</t>
  </si>
  <si>
    <t>CHAMPION INTERNATIONAL #33-1</t>
  </si>
  <si>
    <t>1S33 5N 31W</t>
  </si>
  <si>
    <t>30° 54' 43.07731" N</t>
  </si>
  <si>
    <t>87° 20' 22.38522" W</t>
  </si>
  <si>
    <t>600'FNL&amp;1000'FEL</t>
  </si>
  <si>
    <t>600 FNL 1000 FEL</t>
  </si>
  <si>
    <t>OG_1206</t>
  </si>
  <si>
    <t>STATE OF FLORIDA #34-2</t>
  </si>
  <si>
    <t>DISFL-GR LD-CNL DIR LONG-SPACED-SONIC CORRELATION</t>
  </si>
  <si>
    <t>2S34 6N 26W</t>
  </si>
  <si>
    <t>30° 59' 5.16499" N</t>
  </si>
  <si>
    <t>86° 49' 54.73325" W</t>
  </si>
  <si>
    <t>1298'FNL&amp;1313'FWL</t>
  </si>
  <si>
    <t>1298 FNL 1313 FWL</t>
  </si>
  <si>
    <t>16"@120'</t>
  </si>
  <si>
    <t>9-5/8"@3776'</t>
  </si>
  <si>
    <t>7" 14395'</t>
  </si>
  <si>
    <t>2-7/8" 13920'</t>
  </si>
  <si>
    <t>14034-14192</t>
  </si>
  <si>
    <t>641 BOPD</t>
  </si>
  <si>
    <t>217 MCFPD</t>
  </si>
  <si>
    <t>23 BSWPD</t>
  </si>
  <si>
    <t>14051-14061 14079-14101</t>
  </si>
  <si>
    <t>0911320240</t>
  </si>
  <si>
    <t>OG_1207</t>
  </si>
  <si>
    <t>CHAMPION INTERNATIONAL #10-1</t>
  </si>
  <si>
    <t>DISFL PHYSICAL-FM DI-BHS CORREL DIR TDT-TDTP</t>
  </si>
  <si>
    <t>1S10 3N 30W</t>
  </si>
  <si>
    <t>30° 47' 37.02224" N</t>
  </si>
  <si>
    <t>87° 13' 54.3854" W</t>
  </si>
  <si>
    <t>315'FNL&amp;1290'FEL</t>
  </si>
  <si>
    <t>315 FNL 1290 FEL</t>
  </si>
  <si>
    <t>16"@121'</t>
  </si>
  <si>
    <t>9-5/8"@4019'</t>
  </si>
  <si>
    <t>16500-15500 5617-3300 2789-2542 1958-1280 20-220</t>
  </si>
  <si>
    <t>0911320238</t>
  </si>
  <si>
    <t>OG_1208</t>
  </si>
  <si>
    <t>DIL-SFL BHCS SHDT CYBER DIP CNLD ML</t>
  </si>
  <si>
    <t>2S4 47S 28E</t>
  </si>
  <si>
    <t>26° 25' 11.92523" N</t>
  </si>
  <si>
    <t>81° 31' 28.90986" W</t>
  </si>
  <si>
    <t>1320'FNL&amp;1600'FWL</t>
  </si>
  <si>
    <t>1320 FNL 1600 FWL</t>
  </si>
  <si>
    <t>13-3/8"@1833'</t>
  </si>
  <si>
    <t>9-5/8"@3996'</t>
  </si>
  <si>
    <t>11454-11599</t>
  </si>
  <si>
    <t>11200-11850 3830-4105 1700-1950 21-171</t>
  </si>
  <si>
    <t>0902120195</t>
  </si>
  <si>
    <t>FLS0210017</t>
  </si>
  <si>
    <t>OG_1209</t>
  </si>
  <si>
    <t>COLLIER CO #4-6</t>
  </si>
  <si>
    <t>3S9 49S 30E</t>
  </si>
  <si>
    <t>26° 13' 34.26755" N</t>
  </si>
  <si>
    <t>81° 19' 41.07965" W</t>
  </si>
  <si>
    <t>666'FNL&amp;863'FWL of Sec 9</t>
  </si>
  <si>
    <t>967 FSL 967 FWL OF SEC 4</t>
  </si>
  <si>
    <t>OG_1210</t>
  </si>
  <si>
    <t>L F SMITH #19-9</t>
  </si>
  <si>
    <t>DIELECTRICCC DIR-GR CD-CN-GR BHC-GR EPILOG-LAC</t>
  </si>
  <si>
    <t>30° 56' 42.03939" N</t>
  </si>
  <si>
    <t>87° 9' 47.50253" W</t>
  </si>
  <si>
    <t xml:space="preserve">2253'FSL&amp;2331'FEL </t>
  </si>
  <si>
    <t>2331 FEL 2253 FSL</t>
  </si>
  <si>
    <t>9-5/8" 3800'</t>
  </si>
  <si>
    <t>7" 15850'</t>
  </si>
  <si>
    <t>2-3/8" 15532</t>
  </si>
  <si>
    <t>15570-15779</t>
  </si>
  <si>
    <t>162 MCFPD</t>
  </si>
  <si>
    <t>4783 BSWPD</t>
  </si>
  <si>
    <t>15573-15653</t>
  </si>
  <si>
    <t>15696-15794,14945-15573,14435-14935,9010-9210,3436-3936,1300-1800,38-150</t>
  </si>
  <si>
    <t>0911320239</t>
  </si>
  <si>
    <t>OG_1211</t>
  </si>
  <si>
    <t>STATE OF FLORIDA #28-3</t>
  </si>
  <si>
    <t>3S28 6N 26W</t>
  </si>
  <si>
    <t>30° 59' 36.01662" N</t>
  </si>
  <si>
    <t>86° 50' 43.3388" W</t>
  </si>
  <si>
    <t>1455'FSL&amp;2240'FWL</t>
  </si>
  <si>
    <t>2240 FWL 1455 FSL</t>
  </si>
  <si>
    <t>OG_1212</t>
  </si>
  <si>
    <t>S E KILLAM #9-1</t>
  </si>
  <si>
    <t>LDT-CNL-GR DISFL DISFL-BHCS FMTESTER DIR MICROLOG</t>
  </si>
  <si>
    <t>1S9 5N 31W</t>
  </si>
  <si>
    <t>30° 58' 5.68391" N</t>
  </si>
  <si>
    <t>87° 20' 13.62484" W</t>
  </si>
  <si>
    <t>1108'FNL&amp;486'FEL</t>
  </si>
  <si>
    <t>9-5/8" 3942'</t>
  </si>
  <si>
    <t>15934-15994</t>
  </si>
  <si>
    <t>16050-15750 3750-4050 27-67</t>
  </si>
  <si>
    <t>0903320044</t>
  </si>
  <si>
    <t>OG_1213</t>
  </si>
  <si>
    <t>CHAMPION INTERNATIONAL #31-1</t>
  </si>
  <si>
    <t>4S31 4N 30W</t>
  </si>
  <si>
    <t>30° 49' 15.90164" N</t>
  </si>
  <si>
    <t>87° 16' 40.14869" W</t>
  </si>
  <si>
    <t>1100'FSL&amp;1020'FEL</t>
  </si>
  <si>
    <t>1020 FEL 1100 FSL</t>
  </si>
  <si>
    <t>OG_1214</t>
  </si>
  <si>
    <t>CHAMPION INTERNATIONAL #9-1</t>
  </si>
  <si>
    <t>1S9 3N 30W</t>
  </si>
  <si>
    <t>30° 47' 28.63518" N</t>
  </si>
  <si>
    <t>87° 14' 51.15588" W</t>
  </si>
  <si>
    <t>1320'FNL&amp;940'FEL</t>
  </si>
  <si>
    <t>1320 FNL 940 FEL</t>
  </si>
  <si>
    <t>OG_1215</t>
  </si>
  <si>
    <t>TL CNFD BHCS CYBERLOOK DI-SFL DIR</t>
  </si>
  <si>
    <t>26° 0' 5.0688" N</t>
  </si>
  <si>
    <t>80° 54' 40.4748" W</t>
  </si>
  <si>
    <t>20"@256'</t>
  </si>
  <si>
    <t>13-3/8"@2155'</t>
  </si>
  <si>
    <t>9-5/8"@4113'</t>
  </si>
  <si>
    <t>7"@11593'</t>
  </si>
  <si>
    <t>2-7/8"@11554</t>
  </si>
  <si>
    <t>746 BOPD</t>
  </si>
  <si>
    <t>11620-11634</t>
  </si>
  <si>
    <t>11331-12115,5661-6249</t>
  </si>
  <si>
    <t>0902120194</t>
  </si>
  <si>
    <t>1215A</t>
  </si>
  <si>
    <t>CL&amp;CC #26-3A</t>
  </si>
  <si>
    <t>20"@276'</t>
  </si>
  <si>
    <t>TPA WITH PLUG AT 5661</t>
  </si>
  <si>
    <t>0902120194 -01</t>
  </si>
  <si>
    <t>OG_1216</t>
  </si>
  <si>
    <t>TL DIL-SFL BHCS CNLD DIP ML</t>
  </si>
  <si>
    <t>26° 7' 23.84481" N</t>
  </si>
  <si>
    <t>81° 4' 1.72296" W</t>
  </si>
  <si>
    <t>1043'FNL&amp;1028'FWL</t>
  </si>
  <si>
    <t>1043 FNL 1028 FWL</t>
  </si>
  <si>
    <t>13-3/8"@2009'</t>
  </si>
  <si>
    <t>9-5/8"@3995'</t>
  </si>
  <si>
    <t>11460-11520</t>
  </si>
  <si>
    <t>11345-11755 3845-4100 1760-1959 745-1150 4-150</t>
  </si>
  <si>
    <t>0902120196</t>
  </si>
  <si>
    <t>OG_1217</t>
  </si>
  <si>
    <t>COLLIER CO #29-2</t>
  </si>
  <si>
    <t>TL DISFL BHCS CNLD CYBERLOOK DIP ML MSD</t>
  </si>
  <si>
    <t>2S29 47S 29E</t>
  </si>
  <si>
    <t>26° 21' 47.08369" N</t>
  </si>
  <si>
    <t>81° 26' 39.60182" W</t>
  </si>
  <si>
    <t>1585'FNL&amp;1645'FWL</t>
  </si>
  <si>
    <t>1585 FNL 1645 FWL</t>
  </si>
  <si>
    <t>20"@227'</t>
  </si>
  <si>
    <t>13-3/8"@1933'</t>
  </si>
  <si>
    <t>9-5/8"@4000'</t>
  </si>
  <si>
    <t>10120-10130</t>
  </si>
  <si>
    <t>11490-11990 3770-4060 1652-1898 6-150</t>
  </si>
  <si>
    <t>0902120197</t>
  </si>
  <si>
    <t>OG_1218</t>
  </si>
  <si>
    <t>RK PETROLEUM CORP</t>
  </si>
  <si>
    <t>ALICO LAND DEVELOPMENT CO #29-4</t>
  </si>
  <si>
    <t>26° 26' 28.35774" N</t>
  </si>
  <si>
    <t>81° 31' 30.33661" W</t>
  </si>
  <si>
    <t>660 FWL 660 FSL</t>
  </si>
  <si>
    <t>OG_1219</t>
  </si>
  <si>
    <t>DIASU OIL AND GAS (FIRST ISSUED TO SE PIPELINE)</t>
  </si>
  <si>
    <t>WOLFE HENDRICKS #36-1B</t>
  </si>
  <si>
    <t>30° 59' 24.79902" N</t>
  </si>
  <si>
    <t>87° 7' 44.73992" W</t>
  </si>
  <si>
    <t>2010 FNL 2834 FWL</t>
  </si>
  <si>
    <t>16'@105'</t>
  </si>
  <si>
    <t>10-3/4"@3841'</t>
  </si>
  <si>
    <t>7" 15190'</t>
  </si>
  <si>
    <t>2-7/8" 14680</t>
  </si>
  <si>
    <t>14356-14750 3137-3937 897-1397 5-105</t>
  </si>
  <si>
    <t>Reentry of P# 660</t>
  </si>
  <si>
    <t>OG_1220</t>
  </si>
  <si>
    <t>COLDWATER CREEK</t>
  </si>
  <si>
    <t>RED ROCK OIL AND MINERALS CORP.</t>
  </si>
  <si>
    <t>PITTMAN ESTATE #26-2A</t>
  </si>
  <si>
    <t>DIL CALIP</t>
  </si>
  <si>
    <t>30° 55' 53.04" N</t>
  </si>
  <si>
    <t>87° 5' 55.68" W</t>
  </si>
  <si>
    <t xml:space="preserve">2076'FNL&amp;2229'FWL </t>
  </si>
  <si>
    <t>2229 FWL 2076 FNL</t>
  </si>
  <si>
    <t>10-3/4" 3753'</t>
  </si>
  <si>
    <t>5-1/2" 15396'</t>
  </si>
  <si>
    <t>2-7/8" 14950'</t>
  </si>
  <si>
    <t>152 BOPD</t>
  </si>
  <si>
    <t>9 MCFPD</t>
  </si>
  <si>
    <t>280 BSWPD</t>
  </si>
  <si>
    <t>15146-15166</t>
  </si>
  <si>
    <t>14770-????,14510-14710,3500-3884,1185-1612,10-110</t>
  </si>
  <si>
    <t>Coldwater Creek Field discovery well/Originally P#1173 reentered-issued P#1220 same API# as P# 1173</t>
  </si>
  <si>
    <t>OG_1221</t>
  </si>
  <si>
    <t>JAMES B FURRH</t>
  </si>
  <si>
    <t>GRIFFIS #28-2</t>
  </si>
  <si>
    <t>MUD CNFD DIL DIL-SFL DIR</t>
  </si>
  <si>
    <t>30° 59' 48.59596" N</t>
  </si>
  <si>
    <t>87° 7' 58.71151" W</t>
  </si>
  <si>
    <t>900'FNL&amp;1448'FWL</t>
  </si>
  <si>
    <t>1050 FNL 525 FEL</t>
  </si>
  <si>
    <t>9-5/8" 3898'</t>
  </si>
  <si>
    <t>14850-19200 3714-3914 1400-1700 60-1010</t>
  </si>
  <si>
    <t>0911320241</t>
  </si>
  <si>
    <t>OG_1222</t>
  </si>
  <si>
    <t>TURNER CORP #26-2</t>
  </si>
  <si>
    <t>DIL-SFL BHCS TEMP</t>
  </si>
  <si>
    <t>2S26 47S 29E</t>
  </si>
  <si>
    <t>26° 21' 52.49257" N</t>
  </si>
  <si>
    <t>81° 23' 47.25432" W</t>
  </si>
  <si>
    <t>1105'FNL&amp;1178'FWL</t>
  </si>
  <si>
    <t>1105 FNL 1178 FWL</t>
  </si>
  <si>
    <t>30" 45' 20" 216</t>
  </si>
  <si>
    <t>13-3/8" 2008'</t>
  </si>
  <si>
    <t>9-5/8" 3963'</t>
  </si>
  <si>
    <t>11724-11769</t>
  </si>
  <si>
    <t>11500-11900 3790-3990 1850-2050 0-150</t>
  </si>
  <si>
    <t>0902120192</t>
  </si>
  <si>
    <t>OG_1223</t>
  </si>
  <si>
    <t>MIKE CHEESEMAN, RK PETROLEUM CORP</t>
  </si>
  <si>
    <t>F E STARNES ET AL #30-2</t>
  </si>
  <si>
    <t>2S30 46S 28E</t>
  </si>
  <si>
    <t>26° 26' 51.60964" N</t>
  </si>
  <si>
    <t>81° 33' 30.61675" W</t>
  </si>
  <si>
    <t>1318'FNL&amp;1372'FWL</t>
  </si>
  <si>
    <t>1318 FNL 1372 FWL</t>
  </si>
  <si>
    <t>OG_1224</t>
  </si>
  <si>
    <t>RK PETROLEUM CORP, WHITE LAND &amp; MINERALS INC</t>
  </si>
  <si>
    <t>ALICO LAND DEVELOPMENT COMPANY #29-2</t>
  </si>
  <si>
    <t>DRY HOLE, SI</t>
  </si>
  <si>
    <t>DI-SFL CNFD</t>
  </si>
  <si>
    <t>2S29 46S 28E</t>
  </si>
  <si>
    <t>26° 26' 59.50263" N</t>
  </si>
  <si>
    <t>81° 32' 36.82888" W</t>
  </si>
  <si>
    <t>740'FNL&amp;829'FWL</t>
  </si>
  <si>
    <t>20"@251'</t>
  </si>
  <si>
    <t>13-3/8"@1831'</t>
  </si>
  <si>
    <t>9-5/8"@4046'</t>
  </si>
  <si>
    <t>SEE COMMENTS</t>
  </si>
  <si>
    <t>11153-11553 8163-9003</t>
  </si>
  <si>
    <t>0902120193</t>
  </si>
  <si>
    <t>1224A</t>
  </si>
  <si>
    <t>ALICO LAND DEVELOPMENT COMPANY #29-3A</t>
  </si>
  <si>
    <t>MUD IND-LITH-DENSITY</t>
  </si>
  <si>
    <t>3049 S 108 E of SHL</t>
  </si>
  <si>
    <t>12492-11692</t>
  </si>
  <si>
    <t>0902120193-06</t>
  </si>
  <si>
    <t>1224BH</t>
  </si>
  <si>
    <t>CENTURY OIL COMPANY, INC.</t>
  </si>
  <si>
    <t>ALICO LAND DEVELOPMENT COMPANY #32-2BH</t>
  </si>
  <si>
    <t>MUD CCL</t>
  </si>
  <si>
    <t>4035 S 580 E of SHL</t>
  </si>
  <si>
    <t>CIBP @ 3941'</t>
  </si>
  <si>
    <t>0902120193-07</t>
  </si>
  <si>
    <t>OG_1225</t>
  </si>
  <si>
    <t>T. M. HENDRICKS #36-4</t>
  </si>
  <si>
    <t>DI-SFL-GR CNLD DI-SFL DIR</t>
  </si>
  <si>
    <t>4S36 6N 29W</t>
  </si>
  <si>
    <t>30° 59' 7.01646" N</t>
  </si>
  <si>
    <t>87° 7' 39.02286" W</t>
  </si>
  <si>
    <t xml:space="preserve">1400'FSL&amp;3296'FWL </t>
  </si>
  <si>
    <t>3130 FWL 1302 FSL</t>
  </si>
  <si>
    <t>9-5/8" 3782'</t>
  </si>
  <si>
    <t>14800-15200 3661-3886 1000-1400 4-100</t>
  </si>
  <si>
    <t>0911320255</t>
  </si>
  <si>
    <t>OG_1226</t>
  </si>
  <si>
    <t xml:space="preserve">EXXON </t>
  </si>
  <si>
    <t>STATE OF FLORIDA #28-4</t>
  </si>
  <si>
    <t>DI-SFL CNFD CORREL DIP DIR</t>
  </si>
  <si>
    <t>4S28 6N 26W</t>
  </si>
  <si>
    <t>30° 59' 29.5692" N</t>
  </si>
  <si>
    <t>86° 50' 25.3356" W</t>
  </si>
  <si>
    <t xml:space="preserve">976'FSL&amp;1377'FEL </t>
  </si>
  <si>
    <t>1377 FEL 976 FSL</t>
  </si>
  <si>
    <t>9-5/8" 4064'</t>
  </si>
  <si>
    <t>7" 14203'</t>
  </si>
  <si>
    <t>2-7/8" 13819'</t>
  </si>
  <si>
    <t>14030-14148</t>
  </si>
  <si>
    <t>154 BOPD</t>
  </si>
  <si>
    <t>72 MCFPD</t>
  </si>
  <si>
    <t>171 BSWPD</t>
  </si>
  <si>
    <t>14055-14108</t>
  </si>
  <si>
    <t>14113-14124,13470-14067,5416-5835,3848-4230,1149-1547,10-120</t>
  </si>
  <si>
    <t>0911320242</t>
  </si>
  <si>
    <t>EPA ID # FLS1130068/EPA Permit # FLI0033</t>
  </si>
  <si>
    <t>OG_1227</t>
  </si>
  <si>
    <t>DAVID NEW DRILLING CO INC</t>
  </si>
  <si>
    <t>BUCKEYE CELLULOSE CORPORATION ET AL #20-3</t>
  </si>
  <si>
    <t>DIR DI-SFL SEISMIC FM-TESTER CN-LD TEMP</t>
  </si>
  <si>
    <t>3S20 6S 5W</t>
  </si>
  <si>
    <t>29° 56' 8.51825" N</t>
  </si>
  <si>
    <t>84° 45' 56.08935" W</t>
  </si>
  <si>
    <t>1675'FSL&amp;1350'FWL</t>
  </si>
  <si>
    <t>1675 FSL 1350 FWL</t>
  </si>
  <si>
    <t>20" 165'</t>
  </si>
  <si>
    <t>13-3/8" 990'</t>
  </si>
  <si>
    <t>9-5/8" 3536'</t>
  </si>
  <si>
    <t>11716-12098</t>
  </si>
  <si>
    <t>11500-12540 3232-3732 4-800</t>
  </si>
  <si>
    <t>0903720004</t>
  </si>
  <si>
    <t>OG_1228</t>
  </si>
  <si>
    <t>ARCO OIL &amp; GAS CO</t>
  </si>
  <si>
    <t>R. H. SHERRILL #34-3</t>
  </si>
  <si>
    <t>MUD SONIC DIP CALIPER CORREL DI-SFL CNFD VEL CEM</t>
  </si>
  <si>
    <t>3S34 5N 33W</t>
  </si>
  <si>
    <t>30° 54' 19.55496" N</t>
  </si>
  <si>
    <t>87° 32' 8.58881" W</t>
  </si>
  <si>
    <t>1029'FSL&amp;1050'FWL</t>
  </si>
  <si>
    <t>1029 FSL 1050 FWL</t>
  </si>
  <si>
    <t>13-3/8" 4235'</t>
  </si>
  <si>
    <t>9-5/8" 15750'</t>
  </si>
  <si>
    <t>16848-17087</t>
  </si>
  <si>
    <t>9362-9377</t>
  </si>
  <si>
    <t>16817-17155 15654-15289 9059-9377 see comments</t>
  </si>
  <si>
    <t>0903320045</t>
  </si>
  <si>
    <t>OG_1229</t>
  </si>
  <si>
    <t>CHAMPION INTERNATIONAL #35-41</t>
  </si>
  <si>
    <t>DI-SFL CORREL CNLD</t>
  </si>
  <si>
    <t>4S35 6N 29W</t>
  </si>
  <si>
    <t>30° 59' 12.99534" N</t>
  </si>
  <si>
    <t>87° 8' 26.1204" W</t>
  </si>
  <si>
    <t>1982'FSL&amp;756'FEL</t>
  </si>
  <si>
    <t>1982 FSL 756 FEL</t>
  </si>
  <si>
    <t>8-5/8" 1773'</t>
  </si>
  <si>
    <t>1250-1873 8-40</t>
  </si>
  <si>
    <t>0911320243</t>
  </si>
  <si>
    <t>OG_1230</t>
  </si>
  <si>
    <t>MCDAVID</t>
  </si>
  <si>
    <t>WALKER-BOLEY #34-2</t>
  </si>
  <si>
    <t>DIL-SFL-GR CN-FD DI-SFT DIR DIP</t>
  </si>
  <si>
    <t>2S34 5N 31W</t>
  </si>
  <si>
    <t>30° 54' 33.96865" N</t>
  </si>
  <si>
    <t>87° 19' 52.23076" W</t>
  </si>
  <si>
    <t>1500'FNL&amp;1650'FWL</t>
  </si>
  <si>
    <t>1650 FWL 1500 FNL</t>
  </si>
  <si>
    <t>7" 16739'</t>
  </si>
  <si>
    <t>2-7/8" 16300</t>
  </si>
  <si>
    <t>16342-16402</t>
  </si>
  <si>
    <t>235 BOPD</t>
  </si>
  <si>
    <t>86.2 MCFPD</t>
  </si>
  <si>
    <t>16346-16360</t>
  </si>
  <si>
    <t>16460-15840,4150-3850,1600-1200,100-4</t>
  </si>
  <si>
    <t>0903320046</t>
  </si>
  <si>
    <t>McDavid Field discovery well</t>
  </si>
  <si>
    <t>OG_1231</t>
  </si>
  <si>
    <t>STATE OF FLORIDA #34-3</t>
  </si>
  <si>
    <t>3S34 6N 26W</t>
  </si>
  <si>
    <t>30° 58' 39.83484" N</t>
  </si>
  <si>
    <t>86° 49' 56.86104" W</t>
  </si>
  <si>
    <t xml:space="preserve">1338'FSL&amp;1117'FWL </t>
  </si>
  <si>
    <t>1700 FSL 1700 FWL</t>
  </si>
  <si>
    <t>OG_1232</t>
  </si>
  <si>
    <t>LOUISIANA LAND AND EXPLORATION CO</t>
  </si>
  <si>
    <t>PEGGI V. JEFFREYS #20-1</t>
  </si>
  <si>
    <t>CN-LD CORREL DIR SHDT DIP DI-SFL-BHC</t>
  </si>
  <si>
    <t>1S20 4N 28W</t>
  </si>
  <si>
    <t>30° 50' 41.1707" N</t>
  </si>
  <si>
    <t>87° 3' 39.03638" W</t>
  </si>
  <si>
    <t>1600'FNL&amp;1100'FEL</t>
  </si>
  <si>
    <t>1600 FNL 1100 FEL</t>
  </si>
  <si>
    <t>9-5/8" 3805'</t>
  </si>
  <si>
    <t>15642-15673 16008-16058</t>
  </si>
  <si>
    <t>15500-15750 3650-3905 1786-2086 4-30</t>
  </si>
  <si>
    <t>0911320244</t>
  </si>
  <si>
    <t>OG_1233</t>
  </si>
  <si>
    <t>PENINSULAR OIL CORP.</t>
  </si>
  <si>
    <t>2S27 46S 29E</t>
  </si>
  <si>
    <t>26° 27' 7.90978" N</t>
  </si>
  <si>
    <t>81° 24' 52.44361" W</t>
  </si>
  <si>
    <t>1263'FNL&amp;1147'FWL</t>
  </si>
  <si>
    <t>1263 FNL 1147 FWL</t>
  </si>
  <si>
    <t>OG_1234</t>
  </si>
  <si>
    <t>JONES ESTATE #34-1</t>
  </si>
  <si>
    <t>CNFD DI-SFL-BHC DIP</t>
  </si>
  <si>
    <t>1S34 5N 31W</t>
  </si>
  <si>
    <t>30° 54' 23.39118" N</t>
  </si>
  <si>
    <t>87° 19' 29.38559" W</t>
  </si>
  <si>
    <t>2420'FNL&amp;1637'FEL</t>
  </si>
  <si>
    <t>2420 FNL 1637 FEL</t>
  </si>
  <si>
    <t>9-5/8" 3970'</t>
  </si>
  <si>
    <t>16150-16750 3800-4070 1200-1600 0-100</t>
  </si>
  <si>
    <t>0903320047</t>
  </si>
  <si>
    <t>OG_1235</t>
  </si>
  <si>
    <t>ZILKHA ENERGY CORP</t>
  </si>
  <si>
    <t>DONALD LEONARD #15-3</t>
  </si>
  <si>
    <t>DI-SFL-BHC CORREL TEMP</t>
  </si>
  <si>
    <t>3S15 2N 8W</t>
  </si>
  <si>
    <t>30° 33' 54.55087" N</t>
  </si>
  <si>
    <t>85° 1' 31.9571" W</t>
  </si>
  <si>
    <t xml:space="preserve">1049'FSL&amp;1330'FWL </t>
  </si>
  <si>
    <t>1330 FWL 1049 FSL</t>
  </si>
  <si>
    <t>20" 115'</t>
  </si>
  <si>
    <t>9-5/8" 2751'</t>
  </si>
  <si>
    <t>2507-2907 772-1072 27-62</t>
  </si>
  <si>
    <t>0901320003</t>
  </si>
  <si>
    <t>OG_1236</t>
  </si>
  <si>
    <t>CONSOLIDATED FINANCIAL CORPORATION #23-2</t>
  </si>
  <si>
    <t>2S23 45S 27E</t>
  </si>
  <si>
    <t>26° 33' 20.34198" N</t>
  </si>
  <si>
    <t>81° 34' 53.72951" W</t>
  </si>
  <si>
    <t>388'FNL&amp;290'FEL</t>
  </si>
  <si>
    <t>1302 FWL 1333 FNL</t>
  </si>
  <si>
    <t>OG_1237</t>
  </si>
  <si>
    <t>LEHIGH CORPORATION #14-4</t>
  </si>
  <si>
    <t>26° 33' 21.33965" N</t>
  </si>
  <si>
    <t>81° 34' 53.72731" W</t>
  </si>
  <si>
    <t>388'FNL&amp;290'FEL of Sec 23</t>
  </si>
  <si>
    <t>1304FEL&amp;1332FSL of SEC 14</t>
  </si>
  <si>
    <t>OG_1238</t>
  </si>
  <si>
    <t>ALICO LAND DEVELOPMENT #3-1</t>
  </si>
  <si>
    <t>CN-LD DI-SFL CEMENT DIP</t>
  </si>
  <si>
    <t>1S3 46S 28E</t>
  </si>
  <si>
    <t>26° 30' 37.65438" N</t>
  </si>
  <si>
    <t>81° 30' 10.72105" W</t>
  </si>
  <si>
    <t>1082'FNL&amp;1398'FEL</t>
  </si>
  <si>
    <t>1082 FNL 1398 FEL</t>
  </si>
  <si>
    <t>20" 246'</t>
  </si>
  <si>
    <t>13-3/8" 1855'</t>
  </si>
  <si>
    <t>9-5/8" 3852'</t>
  </si>
  <si>
    <t>11482-11542</t>
  </si>
  <si>
    <t>11220-11620 3700-1950 1607-1808 1195-1412</t>
  </si>
  <si>
    <t>0902120199</t>
  </si>
  <si>
    <t>OG_1239</t>
  </si>
  <si>
    <t>HUSEMAN OIL &amp; ROYALTY CO</t>
  </si>
  <si>
    <t>DUDLEY J. HUGHES #8-4</t>
  </si>
  <si>
    <t>4S9 49S 31E</t>
  </si>
  <si>
    <t>26° 13' 41.42557" N</t>
  </si>
  <si>
    <t>81° 13' 56.9293" W</t>
  </si>
  <si>
    <t>1324'FSL&amp;1240'FWL of Sec 9</t>
  </si>
  <si>
    <t>1307 FEL 1332 FSL OF SEC 8</t>
  </si>
  <si>
    <t>OG_1240</t>
  </si>
  <si>
    <t>DI-SFL LDT-CNL-GR BHC-SONIC MUD DIR</t>
  </si>
  <si>
    <t>4S9 49S 30E</t>
  </si>
  <si>
    <t>26° 13' 34.67096" N</t>
  </si>
  <si>
    <t>81° 19' 40.87985" W</t>
  </si>
  <si>
    <t>616'FNL&amp;868'FWL of Sec 9</t>
  </si>
  <si>
    <t>1030 FSL 860 FEL OF SEC 5</t>
  </si>
  <si>
    <t>13-3/8" 1951'</t>
  </si>
  <si>
    <t>9-5/8" 3976'</t>
  </si>
  <si>
    <t>12092-13149</t>
  </si>
  <si>
    <t>11753-12203 3587-3887 1700-1898 428-824 4-150</t>
  </si>
  <si>
    <t>0902120198</t>
  </si>
  <si>
    <t>OG_1241</t>
  </si>
  <si>
    <t>R. W. BLACKMON, JR #16-1 NO.2</t>
  </si>
  <si>
    <t>30° 56' 59.70426" N</t>
  </si>
  <si>
    <t>87° 6' 26.45671" W</t>
  </si>
  <si>
    <t>700'FNL&amp;700'FEL</t>
  </si>
  <si>
    <t>700 FNL 700 FEL</t>
  </si>
  <si>
    <t>OG_1242</t>
  </si>
  <si>
    <t>LAKE RONEL OIL CO</t>
  </si>
  <si>
    <t>HILLIARD-STATE OF FLORIDA #11-3</t>
  </si>
  <si>
    <t>DIL-BHC-GR CNLDN DIP</t>
  </si>
  <si>
    <t>3S11 46S 31E</t>
  </si>
  <si>
    <t>26° 29' 30.52594" N</t>
  </si>
  <si>
    <t>81° 12' 11.97446" W</t>
  </si>
  <si>
    <t xml:space="preserve">1694'FSL&amp;1453'FWL </t>
  </si>
  <si>
    <t>13-3/8"@ 2071'</t>
  </si>
  <si>
    <t>9-5/8"@ 4020'</t>
  </si>
  <si>
    <t>11389-11454</t>
  </si>
  <si>
    <t>3960-3691,2270-1728,853-453,109-0</t>
  </si>
  <si>
    <t>0905120113</t>
  </si>
  <si>
    <t>OG_1243</t>
  </si>
  <si>
    <t>WHITE LAND AND MINERALS INC.</t>
  </si>
  <si>
    <t>4S29 46S 28E</t>
  </si>
  <si>
    <t>26° 26' 59.52" N</t>
  </si>
  <si>
    <t>81° 32' 36.84" W</t>
  </si>
  <si>
    <t>3235 FNL 2970 FWL</t>
  </si>
  <si>
    <t>20"@ 251'</t>
  </si>
  <si>
    <t>13-3/8"@ 1831'</t>
  </si>
  <si>
    <t>9-5/8"@ 4046'</t>
  </si>
  <si>
    <t>11239-11489</t>
  </si>
  <si>
    <t>0902120193-01</t>
  </si>
  <si>
    <t>1243A</t>
  </si>
  <si>
    <t>ALICO LAND AND DEVELOPMENT COMPANY 29-4A</t>
  </si>
  <si>
    <t>GAMMA RAY</t>
  </si>
  <si>
    <t>1700'FEL &amp; 1300'FSL OF SEC 29</t>
  </si>
  <si>
    <t>5-1/2"@ 12812'</t>
  </si>
  <si>
    <t>12792-12808.5</t>
  </si>
  <si>
    <t>C ZONE (TEST)</t>
  </si>
  <si>
    <t>Yes-B Zone Test 100% SW</t>
  </si>
  <si>
    <t>12824-12808 (C ZONE), 12808-12675 (B ZONE)</t>
  </si>
  <si>
    <t>0902120193-02</t>
  </si>
  <si>
    <t>1243B</t>
  </si>
  <si>
    <t>ALICO LAND AND DEVELOPMENT COMPANY 29-4B</t>
  </si>
  <si>
    <t>MUD LOG</t>
  </si>
  <si>
    <t>1700 FEL &amp; 1300 FSL OF SEC 29</t>
  </si>
  <si>
    <t>5-1/2"@ 12575'</t>
  </si>
  <si>
    <t>See 1243D</t>
  </si>
  <si>
    <t>0902120193-03</t>
  </si>
  <si>
    <t>1243C</t>
  </si>
  <si>
    <t>ALICO LAND AND DEVELOPMENT COMPANY 29-4C</t>
  </si>
  <si>
    <t>1650 FEL &amp; 1200 FSL OF SEC 29</t>
  </si>
  <si>
    <t>2-7/8"@ UNKNOWN</t>
  </si>
  <si>
    <t>OH 12575-12838 MD</t>
  </si>
  <si>
    <t>0902120193-04</t>
  </si>
  <si>
    <t>1243D</t>
  </si>
  <si>
    <t>ALICO LAND AND DEVELOPMENT COMPANY 29-4D</t>
  </si>
  <si>
    <t>1300FEL&amp;950FSL</t>
  </si>
  <si>
    <t>5-1/2"@ 12504'</t>
  </si>
  <si>
    <t>2-7/8"@ 8500'</t>
  </si>
  <si>
    <t>69 BOPD</t>
  </si>
  <si>
    <t>18 BSWPD</t>
  </si>
  <si>
    <t>OH 12992-13291 MD</t>
  </si>
  <si>
    <t>12277- KOP,4949-5499</t>
  </si>
  <si>
    <t>0902120193-05</t>
  </si>
  <si>
    <t>OG_1244</t>
  </si>
  <si>
    <t>CHAMPION INTERNATIONAL #5-1</t>
  </si>
  <si>
    <t>BHC-GR DIFL-GR MUD DIPLOG MINILOG-GR Z-DENSILOG-GR</t>
  </si>
  <si>
    <t>1S5 2N 29W</t>
  </si>
  <si>
    <t>30° 43' 2.22641" N</t>
  </si>
  <si>
    <t>87° 9' 56.11772" W</t>
  </si>
  <si>
    <t>1331'FNL&amp;923'FEL</t>
  </si>
  <si>
    <t>1331 FNL 923 FEL</t>
  </si>
  <si>
    <t>10-3/4" 4219'</t>
  </si>
  <si>
    <t>16825-16949</t>
  </si>
  <si>
    <t>16455-17348 4010-4160 1350-1550 40-150</t>
  </si>
  <si>
    <t>0911320245</t>
  </si>
  <si>
    <t>OG_1245</t>
  </si>
  <si>
    <t>HARKINS VENTURE CAPITAL CORP</t>
  </si>
  <si>
    <t>CHAMPION #16-2</t>
  </si>
  <si>
    <t>DIGL SDL-DSN DIP</t>
  </si>
  <si>
    <t>2S15 5N 30W</t>
  </si>
  <si>
    <t>30° 56' 46.33771" N</t>
  </si>
  <si>
    <t>87° 14' 24.1274" W</t>
  </si>
  <si>
    <t>1989'FSL&amp;187'FWL of Sec 15</t>
  </si>
  <si>
    <t>660 FEL 2220 FSL OF SEC 9</t>
  </si>
  <si>
    <t>10-3/4" 3700'</t>
  </si>
  <si>
    <t>15527-16216,3600-3800, 1500-1700, 10-60</t>
  </si>
  <si>
    <t>0911320246</t>
  </si>
  <si>
    <t>OG_1246</t>
  </si>
  <si>
    <t>SHRINERS HOSPITAL ET AL #28-1</t>
  </si>
  <si>
    <t>DI-SFL-SONIC CORREL</t>
  </si>
  <si>
    <t>1S28 4N 26W</t>
  </si>
  <si>
    <t>30° 49' 33.64154" N</t>
  </si>
  <si>
    <t>86° 50' 33.01599" W</t>
  </si>
  <si>
    <t>16" 125'</t>
  </si>
  <si>
    <t>10-3/4" 3550'</t>
  </si>
  <si>
    <t>15147-15172 15179-15186</t>
  </si>
  <si>
    <t>14860-15257 3405-3705 1409-1709 0-172</t>
  </si>
  <si>
    <t>0911320247</t>
  </si>
  <si>
    <t>OG_1247</t>
  </si>
  <si>
    <t>WILDCAT FARMS #15-1</t>
  </si>
  <si>
    <t>1S15 46S 27E</t>
  </si>
  <si>
    <t>26° 28' 37.07256" N</t>
  </si>
  <si>
    <t>81° 35' 55.60969" W</t>
  </si>
  <si>
    <t>1232'FNL&amp;1008'FEL</t>
  </si>
  <si>
    <t>OG_1248</t>
  </si>
  <si>
    <t>CHAMPION #35-3</t>
  </si>
  <si>
    <t>3S35 5N 31W</t>
  </si>
  <si>
    <t>30° 54' 10.5259" N</t>
  </si>
  <si>
    <t>87° 18' 52.53365" W</t>
  </si>
  <si>
    <t>1607'FSL&amp;1605'FWL</t>
  </si>
  <si>
    <t>1605 FWL 1607 FSL</t>
  </si>
  <si>
    <t>OG_1249</t>
  </si>
  <si>
    <t>JONES-MCDAVID #7-8</t>
  </si>
  <si>
    <t>DIFL-GR DLL-GR CDL-CN-GR-CAL DIR</t>
  </si>
  <si>
    <t>30° 58' 38.56936" N</t>
  </si>
  <si>
    <t>87° 10' 23.7125" W</t>
  </si>
  <si>
    <t>2338'FSL&amp;3382'FEL</t>
  </si>
  <si>
    <t>2338 FSL 3382 FEL</t>
  </si>
  <si>
    <t>10-3/4"@ 3748'</t>
  </si>
  <si>
    <t>7"@ 15726'</t>
  </si>
  <si>
    <t>3-1/2"@ 15340'</t>
  </si>
  <si>
    <t>179 BOPD</t>
  </si>
  <si>
    <t>365 MCFPD</t>
  </si>
  <si>
    <t>2058 BSWPD</t>
  </si>
  <si>
    <t>15548-15692</t>
  </si>
  <si>
    <t>15300-15692,4389-4603,3551-3900,1157-1657,10-157</t>
  </si>
  <si>
    <t>0911320248</t>
  </si>
  <si>
    <t>EPA ID # FLS1130041/FLI0030</t>
  </si>
  <si>
    <t>OG_1250</t>
  </si>
  <si>
    <t>A. GRIMES #8-4</t>
  </si>
  <si>
    <t>DI-SFL-SONIC CNLD CORREL LITH</t>
  </si>
  <si>
    <t>4S8 4N 32W</t>
  </si>
  <si>
    <t>30° 52' 28.38637" N</t>
  </si>
  <si>
    <t>87° 27' 29.39911" W</t>
  </si>
  <si>
    <t>977'FSL&amp;976'FEL</t>
  </si>
  <si>
    <t>977 FSL 976 FEL</t>
  </si>
  <si>
    <t>10-3/4" 4345'</t>
  </si>
  <si>
    <t>16940-17059</t>
  </si>
  <si>
    <t>9100-9500 4173-4450 1200-1600 30-200</t>
  </si>
  <si>
    <t>0903320048</t>
  </si>
  <si>
    <t>OG_1251</t>
  </si>
  <si>
    <t>RED ROCK OIL &amp; MINERALS CORP/ WEST FORK OIL CO.</t>
  </si>
  <si>
    <t>J. S. PITTMAN #26-2</t>
  </si>
  <si>
    <t>NOT ISSUED</t>
  </si>
  <si>
    <t>30° 56' 4.02" N</t>
  </si>
  <si>
    <t>87° 6' 7.74" W</t>
  </si>
  <si>
    <t xml:space="preserve">1037'FNL&amp;994'FWL </t>
  </si>
  <si>
    <t>1037 FNL &amp; 1037 FWL</t>
  </si>
  <si>
    <t xml:space="preserve">Reentry of P# 718, Not Issued </t>
  </si>
  <si>
    <t>1251A</t>
  </si>
  <si>
    <t>9-5/8"@ 3775'</t>
  </si>
  <si>
    <t>4 1/2@5978'</t>
  </si>
  <si>
    <t>2-3/8"@ 5630'</t>
  </si>
  <si>
    <t>5800-5849 (disposal)</t>
  </si>
  <si>
    <t>5655-5849,3593-3900,1189-1606,6-100</t>
  </si>
  <si>
    <t>EPA ID # FLS1130063/EPA Permit # FLI0032- Reentry of P# 718 (same API# as 718)</t>
  </si>
  <si>
    <t>OG_1252</t>
  </si>
  <si>
    <t>HARDY OIL &amp; GAS USA INC</t>
  </si>
  <si>
    <t>PARAMOUNT-TR MILLER MILL C0. #13-4</t>
  </si>
  <si>
    <t>CN-LD-GR DI-SFL-LSS MICROLOG DIP LITH</t>
  </si>
  <si>
    <t>4S13 5N 27W</t>
  </si>
  <si>
    <t>30° 56' 8.75148" N</t>
  </si>
  <si>
    <t>86° 53' 26.53573" W</t>
  </si>
  <si>
    <t>1200 FSL 1200 FEL</t>
  </si>
  <si>
    <t>9-5/8" 4003'</t>
  </si>
  <si>
    <t>13970-14970 3850-4150 1000-1400 5-100</t>
  </si>
  <si>
    <t>0911320249</t>
  </si>
  <si>
    <t>OG_1253</t>
  </si>
  <si>
    <t>PARAMOUNT-STATE OF FLORIDA #30-4</t>
  </si>
  <si>
    <t>CN-LD-GR DI-SFL-GR MICROLOG CYBERLOG</t>
  </si>
  <si>
    <t>4S30 6N 25W</t>
  </si>
  <si>
    <t>30° 59' 22.1181" N</t>
  </si>
  <si>
    <t>86° 46' 29.10008" W</t>
  </si>
  <si>
    <t xml:space="preserve">1320'FSL&amp;1650'FEL </t>
  </si>
  <si>
    <t>1650 FEL 1320 FSL</t>
  </si>
  <si>
    <t>9-5/8" 3776'</t>
  </si>
  <si>
    <t>13100-1400 3600-3900 665-1400 5-105</t>
  </si>
  <si>
    <t>0909120007</t>
  </si>
  <si>
    <t>OG_1254</t>
  </si>
  <si>
    <t>FIRST ENERGY CORP</t>
  </si>
  <si>
    <t>CHAMPION INTERNATIONAL CORP #13-2</t>
  </si>
  <si>
    <t>DITD-BHC-GR CORREL DIR</t>
  </si>
  <si>
    <t>2S13 2N 26W</t>
  </si>
  <si>
    <t>30° 40' 50.59146" N</t>
  </si>
  <si>
    <t>86° 48' 18.49654" W</t>
  </si>
  <si>
    <t>1373'FNL&amp;1294'FWL</t>
  </si>
  <si>
    <t>1373 FNL 1294 FWL</t>
  </si>
  <si>
    <t>15250-15550 3600-3986 400-800 4-104</t>
  </si>
  <si>
    <t>0911320251</t>
  </si>
  <si>
    <t>OG_1255</t>
  </si>
  <si>
    <t>SOUTHERN UNION EXPLORATION</t>
  </si>
  <si>
    <t>STATE OF FLORIDA #19-3</t>
  </si>
  <si>
    <t>3S19 4N 26W</t>
  </si>
  <si>
    <t>30° 50' 11.07924" N</t>
  </si>
  <si>
    <t>86° 53' 11.95328" W</t>
  </si>
  <si>
    <t>660 FWL 1980 FNL</t>
  </si>
  <si>
    <t>OG_1256</t>
  </si>
  <si>
    <t>PACIFIC ENTERPRISES (USA)</t>
  </si>
  <si>
    <t>PARAMOUNT-STATE OF FLORIDA #28-1</t>
  </si>
  <si>
    <t xml:space="preserve">NOTE: SINKHOLE UNDER RIG/ SKIDDED </t>
  </si>
  <si>
    <t>1S28 2N 26W</t>
  </si>
  <si>
    <t>30° 38' 57.33078" N</t>
  </si>
  <si>
    <t>86° 50' 48.73945" W</t>
  </si>
  <si>
    <t xml:space="preserve">2500'FNL&amp;1000'FEL </t>
  </si>
  <si>
    <t>EMERGENCY SKID OF RIG-SINKHOLE</t>
  </si>
  <si>
    <t>0911320252</t>
  </si>
  <si>
    <t>see 1256A file</t>
  </si>
  <si>
    <t>1256A</t>
  </si>
  <si>
    <t>PARAMOUNT-STATE OF FLORIDA #28-1 #2</t>
  </si>
  <si>
    <t>DITD-BHC-GR LD-CN-GR CORREL GR-CEM CEM-VDL DIR</t>
  </si>
  <si>
    <t>30° 38' 57.3806" N</t>
  </si>
  <si>
    <t>86° 50' 50.9217" W</t>
  </si>
  <si>
    <t xml:space="preserve">2500'FNL&amp;1190'FEL </t>
  </si>
  <si>
    <t>1069 FEL 2372 FNL</t>
  </si>
  <si>
    <t>20" 105'</t>
  </si>
  <si>
    <t>13-3/8" 752'</t>
  </si>
  <si>
    <t>3323-4200 400-800 4-100</t>
  </si>
  <si>
    <t>0911320254</t>
  </si>
  <si>
    <t>OG_1257</t>
  </si>
  <si>
    <t>B DECKER ELLIS #18-4-3</t>
  </si>
  <si>
    <t>DIFL-CD-GR</t>
  </si>
  <si>
    <t>4S18 4N 28W</t>
  </si>
  <si>
    <t>30° 51' 7.86413" N</t>
  </si>
  <si>
    <t>87° 4' 46.10458" W</t>
  </si>
  <si>
    <t xml:space="preserve">859'FSL&amp;1783'FEL </t>
  </si>
  <si>
    <t>1783 FEL 859 FSL</t>
  </si>
  <si>
    <t>14" 115'</t>
  </si>
  <si>
    <t>8-5/8" 2130'</t>
  </si>
  <si>
    <t>2025-2325 1299-1699 4-104</t>
  </si>
  <si>
    <t>0911320250</t>
  </si>
  <si>
    <t>OG_1258</t>
  </si>
  <si>
    <t>EXXON-CHAMPION INTERNATIONAL #2-3</t>
  </si>
  <si>
    <t>S2 3N 31W</t>
  </si>
  <si>
    <t>30° 47' 30.25209" N</t>
  </si>
  <si>
    <t>87° 19' 29.67506" W</t>
  </si>
  <si>
    <t>7140'FNL&amp;5810'FWL of McDavid Sectional</t>
  </si>
  <si>
    <t>5810 FWL 7140 FNL</t>
  </si>
  <si>
    <t>OG_1259</t>
  </si>
  <si>
    <t>PG&amp;E RESOURCES CO</t>
  </si>
  <si>
    <t>PARAMOUNT-ADAMS #22-4</t>
  </si>
  <si>
    <t>DI-LSS CN-LD DIR REPEAT_FM_TESTER</t>
  </si>
  <si>
    <t>4S22 5N 24W</t>
  </si>
  <si>
    <t>30° 54' 58.06901" N</t>
  </si>
  <si>
    <t>86° 37' 40.8442" W</t>
  </si>
  <si>
    <t>1605'FSL&amp;1590'FEL</t>
  </si>
  <si>
    <t>1590 FEL 1650 FSL</t>
  </si>
  <si>
    <t>9-5/8" 3525'</t>
  </si>
  <si>
    <t>13681-13871</t>
  </si>
  <si>
    <t>3441-3625 3241-3441 800-1200 0-100</t>
  </si>
  <si>
    <t>0909120008</t>
  </si>
  <si>
    <t>OG_1260</t>
  </si>
  <si>
    <t>PARAMOUNT-WILSON #16-3</t>
  </si>
  <si>
    <t>DI-SFL-BHC-GR LD-CN-GR</t>
  </si>
  <si>
    <t>3S16 2N 26W</t>
  </si>
  <si>
    <t>30° 40' 26.68548" N</t>
  </si>
  <si>
    <t>86° 51' 18.92254" W</t>
  </si>
  <si>
    <t xml:space="preserve">1206'FSL&amp;1488'FWL </t>
  </si>
  <si>
    <t>1488 FWL 1206 FSL</t>
  </si>
  <si>
    <t>3511-3930 400-800 4-100</t>
  </si>
  <si>
    <t>0911320253</t>
  </si>
  <si>
    <t>OG_1261</t>
  </si>
  <si>
    <t>PARAMOUNT-STATE OF FLORIDA #19-3</t>
  </si>
  <si>
    <t>DI-SFL-LSS LD-CNL CORREL DIP INTERPRETATION MUD</t>
  </si>
  <si>
    <t>30° 50' 8.81155" N</t>
  </si>
  <si>
    <t>86° 53' 8.926" W</t>
  </si>
  <si>
    <t>1720'FSL&amp;920'FWL</t>
  </si>
  <si>
    <t>1720 FSL 920 FWL</t>
  </si>
  <si>
    <t>9-5/8" 3494'</t>
  </si>
  <si>
    <t>15157-15205</t>
  </si>
  <si>
    <t>14600-15500 9400-9500 5900-6000 SEE COMMENTS</t>
  </si>
  <si>
    <t>0911320257</t>
  </si>
  <si>
    <t>OG_1262</t>
  </si>
  <si>
    <t>HELMERICH &amp; PAYNE INC</t>
  </si>
  <si>
    <t>PARAMOUNT-ESTES #26-2</t>
  </si>
  <si>
    <t>DIL-BHC-GR Z-DENSILG-CNL-GR MINILOG-GR MUD DIP DIR</t>
  </si>
  <si>
    <t>2S26 2N 27W</t>
  </si>
  <si>
    <t>30° 39' 12.55266" N</t>
  </si>
  <si>
    <t>86° 55' 33.88798" W</t>
  </si>
  <si>
    <t>1720'FNL&amp;920'FWL</t>
  </si>
  <si>
    <t>1663 FNL 1054 FWL</t>
  </si>
  <si>
    <t>20" 130'</t>
  </si>
  <si>
    <t>9-5/8" 3886'</t>
  </si>
  <si>
    <t>16273-16449</t>
  </si>
  <si>
    <t>15756-16550 3484-3986 2930-3030 SEE COMMENTS</t>
  </si>
  <si>
    <t>0911320256</t>
  </si>
  <si>
    <t>OG_1263</t>
  </si>
  <si>
    <t>ALICO LAND DEVELOPMENT CO #19-3</t>
  </si>
  <si>
    <t>DI-SFL CNL-FDC</t>
  </si>
  <si>
    <t>3S19 46S 28E</t>
  </si>
  <si>
    <t>26° 27' 18.04392" N</t>
  </si>
  <si>
    <t>81° 33' 38.6334" W</t>
  </si>
  <si>
    <t xml:space="preserve">1320'FSL&amp;630'FWL </t>
  </si>
  <si>
    <t>921 FWL 1322 FSL</t>
  </si>
  <si>
    <t>13-3/8 @ 1760'</t>
  </si>
  <si>
    <t>9-5/8" @ 3946'</t>
  </si>
  <si>
    <t>11563-11597</t>
  </si>
  <si>
    <t>0902120200</t>
  </si>
  <si>
    <t>OG_1264</t>
  </si>
  <si>
    <t>LOUIS E LARSON #13-2</t>
  </si>
  <si>
    <t>DI-SFL-SONIC CN-LD LITH TEMP VDL DIP</t>
  </si>
  <si>
    <t>2S13 35S 32E</t>
  </si>
  <si>
    <t>27° 25' 57.9139" N</t>
  </si>
  <si>
    <t>81° 5' 14.89322" W</t>
  </si>
  <si>
    <t>1340'FNL&amp;1046'FWL</t>
  </si>
  <si>
    <t>1340 FNL 1046 FWL</t>
  </si>
  <si>
    <t>20"240' 16"1173</t>
  </si>
  <si>
    <t>13-3/8" 1752'</t>
  </si>
  <si>
    <t>9-5/8" 3400'</t>
  </si>
  <si>
    <t>7814-7873</t>
  </si>
  <si>
    <t>7800-7872</t>
  </si>
  <si>
    <t>3253-3500 1476-1850 971-1257 400-700 4-100</t>
  </si>
  <si>
    <t>0909320003</t>
  </si>
  <si>
    <t>OG_1265</t>
  </si>
  <si>
    <t>ROLEY #17-2</t>
  </si>
  <si>
    <t>DI-SFL DL-GR LD-CN-GR CORREL MUD</t>
  </si>
  <si>
    <t>2S17 5N 32W</t>
  </si>
  <si>
    <t>30° 57' 18.64303" N</t>
  </si>
  <si>
    <t>87° 28' 0.88918" W</t>
  </si>
  <si>
    <t>1571'FNL&amp;1063'FWL</t>
  </si>
  <si>
    <t>1571 FNL 1063 FWL</t>
  </si>
  <si>
    <t>9-5/8" 4070'</t>
  </si>
  <si>
    <t>15340-16600 3900-4170 1000-1400 4-100</t>
  </si>
  <si>
    <t>0903320049</t>
  </si>
  <si>
    <t>OG_1266</t>
  </si>
  <si>
    <t>ENERGY DEVELOPMENT CORP</t>
  </si>
  <si>
    <t>PARAMOUNT-TR MILLER MILL CO #30-1</t>
  </si>
  <si>
    <t>DIL-BHCS LD-CNL CORREL DIR LITH</t>
  </si>
  <si>
    <t>1S30 6N 28W</t>
  </si>
  <si>
    <t>30° 59' 48.52172" N</t>
  </si>
  <si>
    <t>87° 4' 24.24597" W</t>
  </si>
  <si>
    <t>920 FSL 920 FEL</t>
  </si>
  <si>
    <t>9-5/8" 3527'</t>
  </si>
  <si>
    <t>14947-15007</t>
  </si>
  <si>
    <t>14400-15400 3363-3627 1300-1700 4-100</t>
  </si>
  <si>
    <t>0911320258</t>
  </si>
  <si>
    <t>OG_1267</t>
  </si>
  <si>
    <t>CORUM PRODUCTION CO</t>
  </si>
  <si>
    <t>ATKINS #4-4</t>
  </si>
  <si>
    <t>CN-LD DI-SFL-BHC MICROLOG CORREL MUD DIR</t>
  </si>
  <si>
    <t>4S4 3N 25W</t>
  </si>
  <si>
    <t>30° 47' 15.53766" N</t>
  </si>
  <si>
    <t>86° 44' 49.61058" W</t>
  </si>
  <si>
    <t>920'FSL&amp;1900'FEL</t>
  </si>
  <si>
    <t>1900 FEL 920 FSL</t>
  </si>
  <si>
    <t>9-5/8" 3667'</t>
  </si>
  <si>
    <t>14744-14770</t>
  </si>
  <si>
    <t>14250-15200 3498-3793 1500-1900 4-100</t>
  </si>
  <si>
    <t>0909120009</t>
  </si>
  <si>
    <t>OG_1268</t>
  </si>
  <si>
    <t>FORNEY OIL CORP</t>
  </si>
  <si>
    <t>USA-STATE OF FLORIDA NO. 13-4</t>
  </si>
  <si>
    <t>DI-SFL-SONIC-GR LD-CNL LITH</t>
  </si>
  <si>
    <t>4S13 4N 26W</t>
  </si>
  <si>
    <t>30° 50' 49.18769" N</t>
  </si>
  <si>
    <t>86° 47' 35.38509" W</t>
  </si>
  <si>
    <t>9-5/8"@ 3562</t>
  </si>
  <si>
    <t>14290-15160,9100-9200,5699-5799 SEE COMMENTS</t>
  </si>
  <si>
    <t>0911320259</t>
  </si>
  <si>
    <t>OG_1269</t>
  </si>
  <si>
    <t>O. D. WRIGHT #42-3-4</t>
  </si>
  <si>
    <t>1INCH CORRE,DIL-SFL-LITHO-GR</t>
  </si>
  <si>
    <t>3S42 5N 29W</t>
  </si>
  <si>
    <t>30° 56' 20.62522" N</t>
  </si>
  <si>
    <t>87° 7' 25.00824" W</t>
  </si>
  <si>
    <t xml:space="preserve">460'FSL&amp;2180'FWL </t>
  </si>
  <si>
    <t>16" @101'</t>
  </si>
  <si>
    <t>8-5/8" @2135</t>
  </si>
  <si>
    <t>2273-1973,1750-1350,130-5</t>
  </si>
  <si>
    <t>0911320262</t>
  </si>
  <si>
    <t>OG_1270</t>
  </si>
  <si>
    <t>PLACID OIL COMPANY</t>
  </si>
  <si>
    <t>POC-PARAMOUNT-STATE OF FLORIDA #26-4</t>
  </si>
  <si>
    <t>DIL-SFL-GR,LCN-GR,1"CORRELATION,TEMP LOG</t>
  </si>
  <si>
    <t>4S26 5N 27W</t>
  </si>
  <si>
    <t>30° 54' 30.38893" N</t>
  </si>
  <si>
    <t>86° 54' 29.14974" W</t>
  </si>
  <si>
    <t>1409'FSL&amp;1334'FEL</t>
  </si>
  <si>
    <t>9-5/8"@ 3822'</t>
  </si>
  <si>
    <t>14749'-14811'</t>
  </si>
  <si>
    <t>15120-14256,10K-9K,3948-3690,3690-3500,1700-1400,S</t>
  </si>
  <si>
    <t>0911320260</t>
  </si>
  <si>
    <t>OG_1271</t>
  </si>
  <si>
    <t>PARAMOUNT-BLACKMON #16-1 #3</t>
  </si>
  <si>
    <t>CNLDN DLL MDL BHCS DIP</t>
  </si>
  <si>
    <t>30° 57' 3.19172" N</t>
  </si>
  <si>
    <t>87° 6' 27.62467" W</t>
  </si>
  <si>
    <t>309'FNL&amp;658'FEL</t>
  </si>
  <si>
    <t>16"@103'</t>
  </si>
  <si>
    <t>10-3/4"@ 3804'</t>
  </si>
  <si>
    <t>14445-15320, 3675-3904, 1350-1750, 0-100</t>
  </si>
  <si>
    <t>0911320261</t>
  </si>
  <si>
    <t>OG_1272</t>
  </si>
  <si>
    <t>PETRO-HUNT CORP</t>
  </si>
  <si>
    <t>COLLIER 3-3</t>
  </si>
  <si>
    <t>1S3 48S 28E</t>
  </si>
  <si>
    <t>26° 19' 59.94329" N</t>
  </si>
  <si>
    <t>81° 30' 5.00036" W</t>
  </si>
  <si>
    <t>1336'FNL&amp;1330'FEL</t>
  </si>
  <si>
    <t>1331.5 FWL &amp; 1378.5 FSL</t>
  </si>
  <si>
    <t>OG_1273</t>
  </si>
  <si>
    <t>ODYSSEY LTD</t>
  </si>
  <si>
    <t>ODYSSEY-CHAMPION #9-2 #1</t>
  </si>
  <si>
    <t>LITHO DIR SFL-GR COM-NEU</t>
  </si>
  <si>
    <t>1S9 3N 28W</t>
  </si>
  <si>
    <t>30° 47' 16.92668" N</t>
  </si>
  <si>
    <t>87° 2' 55.87458" W</t>
  </si>
  <si>
    <t>1325'FNL&amp;2358'FEL</t>
  </si>
  <si>
    <t>1327' FWL &amp; 1222' FNL</t>
  </si>
  <si>
    <t>9-5/8"@ 3910'</t>
  </si>
  <si>
    <t>16366-16426</t>
  </si>
  <si>
    <t>16650-15580,3960-3750,1900-1500,130-30,</t>
  </si>
  <si>
    <t>0911320263</t>
  </si>
  <si>
    <t>OG_1274</t>
  </si>
  <si>
    <t>ODYSSEY-CHAMPION #9-1 #1</t>
  </si>
  <si>
    <t>30° 47' 16.7847" N</t>
  </si>
  <si>
    <t>87° 2' 55.55562" W</t>
  </si>
  <si>
    <t>1325'FNL&amp;2328'FEL</t>
  </si>
  <si>
    <t>1248 'FNL &amp; 1337' FEL</t>
  </si>
  <si>
    <t>OG_1275</t>
  </si>
  <si>
    <t>MAERSK ENERGY</t>
  </si>
  <si>
    <t>MAERSK ENERGY INC. #1 COLLIER RESOURCES CO.</t>
  </si>
  <si>
    <t>CNLDN DIL LITHO FMS</t>
  </si>
  <si>
    <t>1S21 47S 28E</t>
  </si>
  <si>
    <t>26° 22' 37.91636" N</t>
  </si>
  <si>
    <t>81° 31' 11.06078" W</t>
  </si>
  <si>
    <t>1511'FNL&amp;1605'FEL</t>
  </si>
  <si>
    <t>4376' FNL &amp; 3740' FEL</t>
  </si>
  <si>
    <t>22" @261'</t>
  </si>
  <si>
    <t>16" @1814'</t>
  </si>
  <si>
    <t>10-3/4" @3895</t>
  </si>
  <si>
    <t>11874-11934</t>
  </si>
  <si>
    <t>YES 11750-11951</t>
  </si>
  <si>
    <t>15234-10864, 3850-3595, 2020-1440 1150-950, 600</t>
  </si>
  <si>
    <t>0902120201</t>
  </si>
  <si>
    <t>1275A</t>
  </si>
  <si>
    <t>MAERSK ENERGY INC. #21-1/3 COLLIER RESOURCES CO.</t>
  </si>
  <si>
    <t>0902120201-01</t>
  </si>
  <si>
    <t>OG_1276</t>
  </si>
  <si>
    <t>MAERSK ENERGY INC. #2 COLLIER RESOURCES CO.</t>
  </si>
  <si>
    <t>Expired</t>
  </si>
  <si>
    <t>3S23 47S 28E</t>
  </si>
  <si>
    <t>26° 22' 10.29032" N</t>
  </si>
  <si>
    <t>81° 29' 37.29354" W</t>
  </si>
  <si>
    <t>1085'FSL&amp;1383'FWL</t>
  </si>
  <si>
    <t>1336' FNL &amp; 1340' FEL</t>
  </si>
  <si>
    <t>OG_1277</t>
  </si>
  <si>
    <t>COLLIER NO.1</t>
  </si>
  <si>
    <t>26° 8' 11.98295" N</t>
  </si>
  <si>
    <t>81° 57' 5.98849" W</t>
  </si>
  <si>
    <t>OG_1278</t>
  </si>
  <si>
    <t>CHARLOTTE No.1</t>
  </si>
  <si>
    <t>26° 53' 5.3823" N</t>
  </si>
  <si>
    <t>82° 28' 50.98784" W</t>
  </si>
  <si>
    <t>OG_1279</t>
  </si>
  <si>
    <t>SARASOTA</t>
  </si>
  <si>
    <t>SARASOTA No. 1</t>
  </si>
  <si>
    <t>27° 0' 35.98221" N</t>
  </si>
  <si>
    <t>82° 34' 17.98775" W</t>
  </si>
  <si>
    <t>OG_1280</t>
  </si>
  <si>
    <t>FRANKLIN No.1</t>
  </si>
  <si>
    <t>29° 37' 5.98016" N</t>
  </si>
  <si>
    <t>84° 39' 11.98526" W</t>
  </si>
  <si>
    <t>OG_1281</t>
  </si>
  <si>
    <t>29° 29' 48.58029" N</t>
  </si>
  <si>
    <t>84° 53' 8.98504" W</t>
  </si>
  <si>
    <t>OG_1282</t>
  </si>
  <si>
    <t>LONGLEAF ENERGY GROUP INC</t>
  </si>
  <si>
    <t>LONGLEAF-BATES 13-4 #1</t>
  </si>
  <si>
    <t>S16 5N 29W</t>
  </si>
  <si>
    <t>OG_1283</t>
  </si>
  <si>
    <t>FINA OIL &amp; CHEMICAL CO.</t>
  </si>
  <si>
    <t>GERALD JOHNSON 18-1 #1</t>
  </si>
  <si>
    <t>DIL-BHC-GR CNDL DIP</t>
  </si>
  <si>
    <t>1S18 2N 27W</t>
  </si>
  <si>
    <t>30° 41' 6.61186" N</t>
  </si>
  <si>
    <t>86° 58' 52.74962" W</t>
  </si>
  <si>
    <t>1140' FNL &amp; 1340' FEL</t>
  </si>
  <si>
    <t>9-5/8" @3832'</t>
  </si>
  <si>
    <t>16150-16207.5</t>
  </si>
  <si>
    <t>16600-15600, 3982-3682, 2800-2600, 1500-1100, 104</t>
  </si>
  <si>
    <t>0911320264</t>
  </si>
  <si>
    <t>OG_1284</t>
  </si>
  <si>
    <t>ADVENT</t>
  </si>
  <si>
    <t>BELL 2-2-2</t>
  </si>
  <si>
    <t>DIL LITH</t>
  </si>
  <si>
    <t>2S2 1N 31W</t>
  </si>
  <si>
    <t>30° 38' 2.69401" N</t>
  </si>
  <si>
    <t>87° 19' 27.4998" W</t>
  </si>
  <si>
    <t>782'FNL&amp;833'FWL</t>
  </si>
  <si>
    <t>13-3/8" @ 95</t>
  </si>
  <si>
    <t>8-5/8" @ 1485'</t>
  </si>
  <si>
    <t>1454-800, 110-4</t>
  </si>
  <si>
    <t>0903320050</t>
  </si>
  <si>
    <t>OG_1285</t>
  </si>
  <si>
    <t>MACK OIL CO</t>
  </si>
  <si>
    <t>CHAMPION 23-1 #1</t>
  </si>
  <si>
    <t>LITHO DIR</t>
  </si>
  <si>
    <t>1S23 3N 28W</t>
  </si>
  <si>
    <t>30° 45' 27.97952" N</t>
  </si>
  <si>
    <t>87° 0' 44.98271" W</t>
  </si>
  <si>
    <t>1339'FNL&amp;1274'FEL</t>
  </si>
  <si>
    <t>9-5/8" @ 3844'</t>
  </si>
  <si>
    <t>16600-15051,3994-3694,1608-1186,104-4</t>
  </si>
  <si>
    <t>0911320265</t>
  </si>
  <si>
    <t>OG_1286</t>
  </si>
  <si>
    <t>LEIGHTON F. YOUNG</t>
  </si>
  <si>
    <t>HENDRICKS 2-1, WELL NO. 2</t>
  </si>
  <si>
    <t>DIR LITH DLL IND-RES-GR</t>
  </si>
  <si>
    <t>4S2 5N 29W</t>
  </si>
  <si>
    <t>30° 58' 16.50492" N</t>
  </si>
  <si>
    <t>87° 7' 7.249" W</t>
  </si>
  <si>
    <t>1680'FSL&amp;980'FWL</t>
  </si>
  <si>
    <t>1305'FWL &amp; 1405'FSL</t>
  </si>
  <si>
    <t>16" @ 106'</t>
  </si>
  <si>
    <t>10-3/4" @ 3940'</t>
  </si>
  <si>
    <t>15343'-14843' 11977'-11477' 4090'-3790' 1350'-950' 104'-4'</t>
  </si>
  <si>
    <t>0911320266</t>
  </si>
  <si>
    <t>1286A</t>
  </si>
  <si>
    <t>HENDRICKS 2-1, WELL NO. 2ST</t>
  </si>
  <si>
    <t>DIR LITH DI-GR</t>
  </si>
  <si>
    <t>1405FSL/1305FWL</t>
  </si>
  <si>
    <t>15,450' w 370 sx</t>
  </si>
  <si>
    <t>091132026-01</t>
  </si>
  <si>
    <t>OG_1287</t>
  </si>
  <si>
    <t xml:space="preserve">CALUMET </t>
  </si>
  <si>
    <t>CALUMET COLLIER 22-4</t>
  </si>
  <si>
    <t>26° 0' 6.30299" N</t>
  </si>
  <si>
    <t>80° 54' 39.83956" W</t>
  </si>
  <si>
    <t>500' FEL &amp; 500' FSL</t>
  </si>
  <si>
    <t>OG_1288</t>
  </si>
  <si>
    <t>CALUMET COLLIER 27-1</t>
  </si>
  <si>
    <t>1S27 51S 34E</t>
  </si>
  <si>
    <t>26° 0' 5.59296" N</t>
  </si>
  <si>
    <t>80° 54' 40.87956" W</t>
  </si>
  <si>
    <t>1000'FNL &amp; 500' FEL</t>
  </si>
  <si>
    <t>OG_1289</t>
  </si>
  <si>
    <t>CALUMET COLLIER 34-5</t>
  </si>
  <si>
    <t>PILOT</t>
  </si>
  <si>
    <t>BHCS MUD CNL GR CCL XY CAL</t>
  </si>
  <si>
    <t>25° 59' 59.7012" N</t>
  </si>
  <si>
    <t>80° 55' 27.9012" W</t>
  </si>
  <si>
    <t>3138'FNL&amp;4603'FWL</t>
  </si>
  <si>
    <t>200' FNL &amp; 3000' FWL</t>
  </si>
  <si>
    <t>24"@246'</t>
  </si>
  <si>
    <t>16" @2212'</t>
  </si>
  <si>
    <t>11 3/4" @4010'</t>
  </si>
  <si>
    <t>8 5/8"@13261'</t>
  </si>
  <si>
    <t>0902120202</t>
  </si>
  <si>
    <t>6 5/8" liner @ 12910-13536'</t>
  </si>
  <si>
    <t>1289AH</t>
  </si>
  <si>
    <t>COLLIER LAND AND CATTLE CO. NO.34-5A-H</t>
  </si>
  <si>
    <t>2377S/3201E of SHL</t>
  </si>
  <si>
    <t>6 5/8"@13536'</t>
  </si>
  <si>
    <t>13549-13601</t>
  </si>
  <si>
    <t>3322 BOPD</t>
  </si>
  <si>
    <t>107 MCFD</t>
  </si>
  <si>
    <t>260 BWPD</t>
  </si>
  <si>
    <t>OH 13551-13601 MD</t>
  </si>
  <si>
    <t>13639-13261</t>
  </si>
  <si>
    <t>0902120202-01</t>
  </si>
  <si>
    <t>Started sidetrack on 2/12/1996</t>
  </si>
  <si>
    <t>1289BH</t>
  </si>
  <si>
    <t>COLLIER LAND AND CATTLE CO. NO.34-5B-H</t>
  </si>
  <si>
    <t>GAMMA RAY, CL</t>
  </si>
  <si>
    <t>2631S/3485E of SHL</t>
  </si>
  <si>
    <t>0902120202-02</t>
  </si>
  <si>
    <t>1289CH</t>
  </si>
  <si>
    <t>COLLIER LAND AND CATTLE CO. NO.34-5C-H</t>
  </si>
  <si>
    <t>MUD</t>
  </si>
  <si>
    <t>3136' South&amp;4271'East of SHL</t>
  </si>
  <si>
    <t>13,650-14,656'</t>
  </si>
  <si>
    <t>12285-10830, 10772-10568</t>
  </si>
  <si>
    <t>0902120202-03</t>
  </si>
  <si>
    <t>OG_1290</t>
  </si>
  <si>
    <t>CALUMET DUDA 35-1</t>
  </si>
  <si>
    <t>1S35 44S 28E</t>
  </si>
  <si>
    <t>26° 36' 41.51604" N</t>
  </si>
  <si>
    <t>81° 29' 12.71432" W</t>
  </si>
  <si>
    <t>1585'FNL&amp;786'FEL</t>
  </si>
  <si>
    <t>OG_1291</t>
  </si>
  <si>
    <t>CALUMET DUDA 35-2</t>
  </si>
  <si>
    <t>2S35 44S 28E</t>
  </si>
  <si>
    <t>26° 36' 41.83247" N</t>
  </si>
  <si>
    <t>81° 29' 50.92969" W</t>
  </si>
  <si>
    <t>1320'FNL&amp;1002'FWL</t>
  </si>
  <si>
    <t>OG_1292</t>
  </si>
  <si>
    <t>CALUMET DUDA 26-4</t>
  </si>
  <si>
    <t>HRIS SPEC DENSITY MUD CSN-GR</t>
  </si>
  <si>
    <t>3S26 44S 28E</t>
  </si>
  <si>
    <t>26° 36' 58.55767" N</t>
  </si>
  <si>
    <t>81° 29' 12.2122" W</t>
  </si>
  <si>
    <t>210'FSL&amp;719'FEL</t>
  </si>
  <si>
    <t>24"@131'</t>
  </si>
  <si>
    <t>13 3/8@ 1759.43'</t>
  </si>
  <si>
    <t>9 5/8 @3977'</t>
  </si>
  <si>
    <t>11,364-11,368 11,368-11,380 11,396-11,426</t>
  </si>
  <si>
    <t>11,635-11,051 4092-3842 1700-1534 1318-1118 814-614 104-0</t>
  </si>
  <si>
    <t>0905120115</t>
  </si>
  <si>
    <t>OG_1293</t>
  </si>
  <si>
    <t>DESOTO OIL &amp; GAS, INC.</t>
  </si>
  <si>
    <t>STATE OF FLORIDA 34-3</t>
  </si>
  <si>
    <t>STATE LANDS</t>
  </si>
  <si>
    <t>30° 58' 40.27696" N</t>
  </si>
  <si>
    <t>86° 49' 57.13093" W</t>
  </si>
  <si>
    <t>1338'FSL&amp;1117'FWL</t>
  </si>
  <si>
    <t>OG_1294</t>
  </si>
  <si>
    <t>CALUMET</t>
  </si>
  <si>
    <t>CFI TURNER CORP. 30-5</t>
  </si>
  <si>
    <t>26° 31' 53.38255" N</t>
  </si>
  <si>
    <t>81° 33' 6.10885" W</t>
  </si>
  <si>
    <t>1304'FSL&amp;1387'FEL</t>
  </si>
  <si>
    <t>730 FEL &amp; 780 FSL</t>
  </si>
  <si>
    <t>24"@176</t>
  </si>
  <si>
    <t>13 3/8@1759'</t>
  </si>
  <si>
    <t>9 5/8@4027'</t>
  </si>
  <si>
    <t>11,585-11,300</t>
  </si>
  <si>
    <t>0905120116</t>
  </si>
  <si>
    <t>1294AH</t>
  </si>
  <si>
    <t>240.72' S &amp; 240.67' E of SHL</t>
  </si>
  <si>
    <t>0905120116-01</t>
  </si>
  <si>
    <t>1294BH</t>
  </si>
  <si>
    <t>263.43' S &amp; 262.16' E of SHL</t>
  </si>
  <si>
    <t>0905120116-02</t>
  </si>
  <si>
    <t>1294CH</t>
  </si>
  <si>
    <t>269.58' S &amp; 243.14' E of SHL</t>
  </si>
  <si>
    <t>0905120116-03</t>
  </si>
  <si>
    <t>1294DH</t>
  </si>
  <si>
    <t>689.32' S &amp; 769.35' E of SHL</t>
  </si>
  <si>
    <t>7" @11,408'</t>
  </si>
  <si>
    <t>3 1/2"@11,670'</t>
  </si>
  <si>
    <t>OH HZ 11610-12292 MD</t>
  </si>
  <si>
    <t>0905120116-04</t>
  </si>
  <si>
    <t>1295H</t>
  </si>
  <si>
    <t>OG_1295</t>
  </si>
  <si>
    <t>CFI-RED CATTLE NO. 29-6</t>
  </si>
  <si>
    <t>26° 32' 15.12125" N</t>
  </si>
  <si>
    <t>81° 32' 37.99757" W</t>
  </si>
  <si>
    <t>1847'FNL&amp;1115'FWL</t>
  </si>
  <si>
    <t>1803' FWL &amp; 695' FSL</t>
  </si>
  <si>
    <t>24"@ 86'</t>
  </si>
  <si>
    <t>16"@1722'</t>
  </si>
  <si>
    <t>10 3/4@ 3930'</t>
  </si>
  <si>
    <t>7 5/8 @11,378'</t>
  </si>
  <si>
    <t>3-1/2"/2-7/8" @ 10,383'</t>
  </si>
  <si>
    <t>Cuttings</t>
  </si>
  <si>
    <t>9,500-12,267'</t>
  </si>
  <si>
    <t>185 BOPD</t>
  </si>
  <si>
    <t>18.5 MCFD</t>
  </si>
  <si>
    <t>3733 BWPD</t>
  </si>
  <si>
    <t>OH HZ 11480-12267 MD</t>
  </si>
  <si>
    <t>0905120117</t>
  </si>
  <si>
    <t>OG_1296</t>
  </si>
  <si>
    <t>CAPE ST. GEORGE #1</t>
  </si>
  <si>
    <t>29° 29' 29.98034" N</t>
  </si>
  <si>
    <t>85° 9' 10.9848" W</t>
  </si>
  <si>
    <t>OG_1297</t>
  </si>
  <si>
    <t>CAPE ST. GEORGE #2</t>
  </si>
  <si>
    <t>29° 28' 7.98035" N</t>
  </si>
  <si>
    <t>85° 6' 38.98482" W</t>
  </si>
  <si>
    <t>OG_1298</t>
  </si>
  <si>
    <t>FENHOLLOWAY # 1</t>
  </si>
  <si>
    <t>IN FEDERAL WATERS</t>
  </si>
  <si>
    <t>29° 54' 39.97987" N</t>
  </si>
  <si>
    <t>84° 5' 54.9858" W</t>
  </si>
  <si>
    <t>OG_1299</t>
  </si>
  <si>
    <t>FENHOLLOWAY # 2</t>
  </si>
  <si>
    <t>29° 41' 29.98002" N</t>
  </si>
  <si>
    <t>83° 42' 29.98622" W</t>
  </si>
  <si>
    <t>OG_1300</t>
  </si>
  <si>
    <t xml:space="preserve">ANCLOTE ISLAND #1 </t>
  </si>
  <si>
    <t>28° 13' 44.9812" N</t>
  </si>
  <si>
    <t>82° 58' 59.98716" W</t>
  </si>
  <si>
    <t>OG_1301</t>
  </si>
  <si>
    <t>ANCLOTE ISLAND #2</t>
  </si>
  <si>
    <t>28° 6' 9.972" N</t>
  </si>
  <si>
    <t>82° 58' 59.88" W</t>
  </si>
  <si>
    <t>OG_1302</t>
  </si>
  <si>
    <t>LONGBOAT KEY #1</t>
  </si>
  <si>
    <t>27° 22' 29.98191" N</t>
  </si>
  <si>
    <t>82° 49' 15.98744" W</t>
  </si>
  <si>
    <t>OG_1303</t>
  </si>
  <si>
    <t>GASPARILLA ISLAND #1</t>
  </si>
  <si>
    <t>26° 55' 59.98226" N</t>
  </si>
  <si>
    <t>82° 31' 50.98778" W</t>
  </si>
  <si>
    <t>OG_1304</t>
  </si>
  <si>
    <t>GASPARILLA ISLAND #2</t>
  </si>
  <si>
    <t>26° 47' 59.98238" N</t>
  </si>
  <si>
    <t>82° 26' 20.98791" W</t>
  </si>
  <si>
    <t>OG_1305</t>
  </si>
  <si>
    <t>GASPARILLA ISLAND #3</t>
  </si>
  <si>
    <t>26° 45' 39.98241" N</t>
  </si>
  <si>
    <t>82° 24' 55.98794" W</t>
  </si>
  <si>
    <t>OG_1306</t>
  </si>
  <si>
    <t>SANIBEL ISLAND #1</t>
  </si>
  <si>
    <t>26° 27' 59.98268" N</t>
  </si>
  <si>
    <t>82° 19' 33.98805" W</t>
  </si>
  <si>
    <t>OG_1307</t>
  </si>
  <si>
    <t>NAPLES #1</t>
  </si>
  <si>
    <t>26° 1' 59.98302" N</t>
  </si>
  <si>
    <t>81° 55' 44.98852" W</t>
  </si>
  <si>
    <t>1308H</t>
  </si>
  <si>
    <t>OG_1308</t>
  </si>
  <si>
    <t>COLLIER NO. 19-1-H #28</t>
  </si>
  <si>
    <t>26° 17' 30.9012" N</t>
  </si>
  <si>
    <t>81° 21' 26.496" W</t>
  </si>
  <si>
    <t>1400'FNL&amp;2127'FEL</t>
  </si>
  <si>
    <t>OG_1309</t>
  </si>
  <si>
    <t>RED CATTLE CO. 29-4-H</t>
  </si>
  <si>
    <t>26° 31' 49.98256" N</t>
  </si>
  <si>
    <t>81° 26' 14.52896" W</t>
  </si>
  <si>
    <t>375'FSL&amp;860'FEL</t>
  </si>
  <si>
    <t>OG_1310</t>
  </si>
  <si>
    <t>BOB SIKES CUT #2</t>
  </si>
  <si>
    <t>29° 30' 14.9803" N</t>
  </si>
  <si>
    <t>84° 54' 6.98502" W</t>
  </si>
  <si>
    <t>OG_1311</t>
  </si>
  <si>
    <t>CAPE ST. GEORGE #3</t>
  </si>
  <si>
    <t>29° 34' 49.98023" N</t>
  </si>
  <si>
    <t>84° 44' 25.98521" W</t>
  </si>
  <si>
    <t>OG_1312</t>
  </si>
  <si>
    <t>EAST PASS #1</t>
  </si>
  <si>
    <t>29° 39' 49.98013" N</t>
  </si>
  <si>
    <t>84° 35' 59.98532" W</t>
  </si>
  <si>
    <t>OG_1313</t>
  </si>
  <si>
    <t>EAST PASS #2</t>
  </si>
  <si>
    <t>29° 39' 31.98014" N</t>
  </si>
  <si>
    <t>84° 35' 44.98532" W</t>
  </si>
  <si>
    <t>1314H</t>
  </si>
  <si>
    <t>OG_1314H</t>
  </si>
  <si>
    <t>McDAVIDS LANDS, ET AL 37-5</t>
  </si>
  <si>
    <t>GR-DEN-NEUT-RES-DNQC-MUD-DIRSURV-DENNEUTQC</t>
  </si>
  <si>
    <t>S37 6N 30W</t>
  </si>
  <si>
    <t>30° 59' 41.7084" N</t>
  </si>
  <si>
    <t>87° 11' 9.9024" W</t>
  </si>
  <si>
    <t>2573.79' S &amp; 600.16' W of SHL.</t>
  </si>
  <si>
    <t>20"@208'</t>
  </si>
  <si>
    <t>10 3/4"@3570'</t>
  </si>
  <si>
    <t>7 5/8" &amp; 7 3/4"@ 16424</t>
  </si>
  <si>
    <t>3 1/2"@ 16408</t>
  </si>
  <si>
    <t>880.8 BOPD</t>
  </si>
  <si>
    <t>1920 MCFPD</t>
  </si>
  <si>
    <t>540 BSWPD</t>
  </si>
  <si>
    <t>OH HZ 16424-18806 MD</t>
  </si>
  <si>
    <t>0903320051</t>
  </si>
  <si>
    <t>EPA ID # FLS1130074/FLI 0044</t>
  </si>
  <si>
    <t>OG_1315</t>
  </si>
  <si>
    <t>ZINKE &amp; TRUMBO, INC.</t>
  </si>
  <si>
    <t>DUGGAN ET AL 34-2</t>
  </si>
  <si>
    <t>2S34 3N 24W</t>
  </si>
  <si>
    <t>30° 42' 41.89949" N</t>
  </si>
  <si>
    <t>86° 37' 54.84311" W</t>
  </si>
  <si>
    <t xml:space="preserve">780'FSL&amp;1580'FEL </t>
  </si>
  <si>
    <t>516' FWL &amp; 1092' FNL</t>
  </si>
  <si>
    <t>13 3/8@ 621'</t>
  </si>
  <si>
    <t>9 5/8@ 3909'</t>
  </si>
  <si>
    <t xml:space="preserve">NO </t>
  </si>
  <si>
    <t>0909120010</t>
  </si>
  <si>
    <t>OG_1316</t>
  </si>
  <si>
    <t>DUGGAN ET AL 35-2</t>
  </si>
  <si>
    <t>30° 42' 41.74951" N</t>
  </si>
  <si>
    <t>86° 37' 53.86348" W</t>
  </si>
  <si>
    <t>1355'FEL&amp;1080'FSL</t>
  </si>
  <si>
    <t>OG_1317</t>
  </si>
  <si>
    <t>DUGGAN ET AL 34-3</t>
  </si>
  <si>
    <t>30° 42' 41.17949" N</t>
  </si>
  <si>
    <t>86° 37' 53.37309" W</t>
  </si>
  <si>
    <t>1311'FEL&amp;1056'FSL</t>
  </si>
  <si>
    <t>OG_1318</t>
  </si>
  <si>
    <t>DUGGAN ET AL 34-1</t>
  </si>
  <si>
    <t>30° 42' 40.94509" N</t>
  </si>
  <si>
    <t>86° 37' 52.8809" W</t>
  </si>
  <si>
    <t>1268'FEL&amp;1031'FSL</t>
  </si>
  <si>
    <t>OG_1319</t>
  </si>
  <si>
    <t>C.D. BRAGG ET AL # 23-2A</t>
  </si>
  <si>
    <t>30° 56' 0.07539" N</t>
  </si>
  <si>
    <t>87° 8' 55.63554" W</t>
  </si>
  <si>
    <t>1947'FNL&amp;5959'FJFU</t>
  </si>
  <si>
    <t>OG_1320</t>
  </si>
  <si>
    <t>McDAVIDS LANDS, ET AL 7-9</t>
  </si>
  <si>
    <t>IND-SONIC-GAMMA-DENSITY</t>
  </si>
  <si>
    <t>30° 58' 48.28834" N</t>
  </si>
  <si>
    <t>87° 9' 43.96152" W</t>
  </si>
  <si>
    <t>609'FNL&amp;3636'FJFU</t>
  </si>
  <si>
    <t>16"@98'</t>
  </si>
  <si>
    <t>10 3/4@3837'</t>
  </si>
  <si>
    <t>7"@15787'</t>
  </si>
  <si>
    <t>3 1/2@ 15230'</t>
  </si>
  <si>
    <t>no</t>
  </si>
  <si>
    <t>3.783 MCFPD</t>
  </si>
  <si>
    <t>6741 BSWPD</t>
  </si>
  <si>
    <t>15572-15598/15406-15442</t>
  </si>
  <si>
    <t>PACKER @ 15230'</t>
  </si>
  <si>
    <t>0911320267</t>
  </si>
  <si>
    <t>EPA ID # FLS1130076/FLI 0046</t>
  </si>
  <si>
    <t>OG_1321</t>
  </si>
  <si>
    <t>MONCRIEF # 10-7</t>
  </si>
  <si>
    <t>CEMENTBOND-CASING-CASTCALI-DIR</t>
  </si>
  <si>
    <t>30° 58' 1.10236" N</t>
  </si>
  <si>
    <t>87° 10' 19.77853" W</t>
  </si>
  <si>
    <t>340'FNL&amp;21'FWL</t>
  </si>
  <si>
    <t>16"@300'</t>
  </si>
  <si>
    <t>10 3/4@3838'</t>
  </si>
  <si>
    <t>7"@15839'</t>
  </si>
  <si>
    <t>3 1/2@ 14961'</t>
  </si>
  <si>
    <t>262.4 BOPD</t>
  </si>
  <si>
    <t>1.203 MCFPD</t>
  </si>
  <si>
    <t>965 BSWPD</t>
  </si>
  <si>
    <t>15570-15650</t>
  </si>
  <si>
    <t>0911320268</t>
  </si>
  <si>
    <t>OG_1322</t>
  </si>
  <si>
    <t>McDAVIDS LANDS, ET AL 30-3B</t>
  </si>
  <si>
    <t>30° 59' 45.4344" N</t>
  </si>
  <si>
    <t>87° 10' 43.2768" W</t>
  </si>
  <si>
    <t>341'FNL&amp;889'FWL</t>
  </si>
  <si>
    <t>10 3/4@3852'</t>
  </si>
  <si>
    <t>7"@13924'</t>
  </si>
  <si>
    <t>4 1/2 @ 16132/3 1/2@12124</t>
  </si>
  <si>
    <t>NG</t>
  </si>
  <si>
    <t>100% WATER</t>
  </si>
  <si>
    <t>15745-15958</t>
  </si>
  <si>
    <t>PACKER @ 12012</t>
  </si>
  <si>
    <t>0903320052</t>
  </si>
  <si>
    <t>OG_1323</t>
  </si>
  <si>
    <t>UNITED ENERGY CONSERVATION,LLC</t>
  </si>
  <si>
    <t>BOB PAUL, INC. # 20-4</t>
  </si>
  <si>
    <t>JUNKED HOLE</t>
  </si>
  <si>
    <t>1S20 38S 30E</t>
  </si>
  <si>
    <t>27° 9' 15.07813" N</t>
  </si>
  <si>
    <t>81° 20' 9.85463" W</t>
  </si>
  <si>
    <t>1639'FSL&amp;1009'FEL</t>
  </si>
  <si>
    <t>24"@126'</t>
  </si>
  <si>
    <t>0-1140</t>
  </si>
  <si>
    <t>1137-1015, 130-0</t>
  </si>
  <si>
    <t>0905520003</t>
  </si>
  <si>
    <t>JUNKED&amp;ABNDED Rig skidded to drill 1323A</t>
  </si>
  <si>
    <t>1323A</t>
  </si>
  <si>
    <t>BOB PAUL, INC. # 20-4-1</t>
  </si>
  <si>
    <t>LITH-MUD-GAMMA-IND-DEN-NEUT</t>
  </si>
  <si>
    <t>27° 9' 16.36607" N</t>
  </si>
  <si>
    <t>81° 20' 8.01384" W</t>
  </si>
  <si>
    <t>1770'FSL&amp; 845'FEL</t>
  </si>
  <si>
    <t>24'@198</t>
  </si>
  <si>
    <t>13 3/8@1890</t>
  </si>
  <si>
    <t>9 5/8@3800</t>
  </si>
  <si>
    <t>5-1/2"@12,573'</t>
  </si>
  <si>
    <t>0-12,506' 8945-9073.4' Cuttings</t>
  </si>
  <si>
    <t>3950-3537, 1247-1047, 904-704, 110-0</t>
  </si>
  <si>
    <t>0905520004</t>
  </si>
  <si>
    <t>Additional csg string 18 5/8@900'</t>
  </si>
  <si>
    <t>OG_1324</t>
  </si>
  <si>
    <t>SMOAK GROVES INC, 28-2</t>
  </si>
  <si>
    <t>27° 9' 15.14167" N</t>
  </si>
  <si>
    <t>81° 20' 10.12884" W</t>
  </si>
  <si>
    <t>1649'FSL&amp;1034'FEL</t>
  </si>
  <si>
    <t>OG_1325</t>
  </si>
  <si>
    <t>SMOAK GROVES INC, 21-4</t>
  </si>
  <si>
    <t>27° 9' 15.28438" N</t>
  </si>
  <si>
    <t>81° 20' 10.39877" W</t>
  </si>
  <si>
    <t>1659'FSL&amp;1059'FEL</t>
  </si>
  <si>
    <t>OG_1326</t>
  </si>
  <si>
    <t>BOB PAUL, INC. # 29-1</t>
  </si>
  <si>
    <t>27° 9' 15.4193" N</t>
  </si>
  <si>
    <t>81° 20' 10.66229" W</t>
  </si>
  <si>
    <t>1669'FSL&amp;1084'FEL</t>
  </si>
  <si>
    <t>OG_1327</t>
  </si>
  <si>
    <t>VOLCO OIL &amp; GAS, LLC</t>
  </si>
  <si>
    <t>4S1 18S 33E</t>
  </si>
  <si>
    <t>28° 57' 10.98038" N</t>
  </si>
  <si>
    <t>80° 58' 20.98918" W</t>
  </si>
  <si>
    <t>831'FSL&amp;551'FEL</t>
  </si>
  <si>
    <t>OG_1328</t>
  </si>
  <si>
    <t>S22 2N 27W</t>
  </si>
  <si>
    <t>30° 39' 56.31616" N</t>
  </si>
  <si>
    <t>86° 56' 12.78709" W</t>
  </si>
  <si>
    <t>OG_1329</t>
  </si>
  <si>
    <t>ZENERGY</t>
  </si>
  <si>
    <t>KAUCHER 32-2</t>
  </si>
  <si>
    <t>S32 3N 24W</t>
  </si>
  <si>
    <t>30° 42' 50.97783" N</t>
  </si>
  <si>
    <t>86° 40' 30.04411" W</t>
  </si>
  <si>
    <t>1789' FSL &amp;723' FWL</t>
  </si>
  <si>
    <t>1223FSL/1327FWL</t>
  </si>
  <si>
    <t>20"@90'</t>
  </si>
  <si>
    <t>13 3/8"@650'</t>
  </si>
  <si>
    <t>9 5/8"@3528'</t>
  </si>
  <si>
    <t>1200'-3678' 6'-120'</t>
  </si>
  <si>
    <t>0909120011</t>
  </si>
  <si>
    <t>1331AHL</t>
  </si>
  <si>
    <t>OG_1331</t>
  </si>
  <si>
    <t>CLCC 27-5H</t>
  </si>
  <si>
    <t>CBL-GR-LITH-MUD-DEN-COMPNEUTRON-SONIC</t>
  </si>
  <si>
    <t>26° 0' 6.2064" N</t>
  </si>
  <si>
    <t>80° 54' 40.9032" W</t>
  </si>
  <si>
    <t>2697'FNL&amp;1800FEL</t>
  </si>
  <si>
    <t>2832'FNL&amp;2361'FWL</t>
  </si>
  <si>
    <t>24"@165'</t>
  </si>
  <si>
    <t>16"@1972'</t>
  </si>
  <si>
    <t>10 3/4"@4200'</t>
  </si>
  <si>
    <t>7 5/8"@11403'</t>
  </si>
  <si>
    <t>1151 BOPD</t>
  </si>
  <si>
    <t>74.320MCF</t>
  </si>
  <si>
    <t>1552 BSWPD</t>
  </si>
  <si>
    <t>OH HZ 11611-13464 MD</t>
  </si>
  <si>
    <t>TD-11,120, 10,700-10,499</t>
  </si>
  <si>
    <t>0902120203-01</t>
  </si>
  <si>
    <t>3 OH laterals</t>
  </si>
  <si>
    <t>OG_1332</t>
  </si>
  <si>
    <t>CLCC 26-2</t>
  </si>
  <si>
    <t>P&amp;A'd/Pilot</t>
  </si>
  <si>
    <t>26° 0' 6.6708" N</t>
  </si>
  <si>
    <t>80° 54' 40.6908" W</t>
  </si>
  <si>
    <t>2572'FNL&amp;1803'FEL</t>
  </si>
  <si>
    <t>1078.61'N &amp;1263.17E of SHL</t>
  </si>
  <si>
    <t>24"@172.5'</t>
  </si>
  <si>
    <t>16"@2140'</t>
  </si>
  <si>
    <t>10 3/4"@4175'</t>
  </si>
  <si>
    <t>7 5/8"@11800'</t>
  </si>
  <si>
    <t>0902120205</t>
  </si>
  <si>
    <t>1332AHL</t>
  </si>
  <si>
    <t>CLCC 26-2AHL</t>
  </si>
  <si>
    <t>GR-IND-SDN MD&amp;TVD-LITH</t>
  </si>
  <si>
    <t>2156'FNL&amp;1096'FWL</t>
  </si>
  <si>
    <t>3.5"@9358'</t>
  </si>
  <si>
    <t>OH HZ 12210-13880 MD</t>
  </si>
  <si>
    <t>0902120205-01</t>
  </si>
  <si>
    <t>1333AHL</t>
  </si>
  <si>
    <t>OG_1333</t>
  </si>
  <si>
    <t>CLCC 27-6AHL</t>
  </si>
  <si>
    <t>CBL-BHCsonic-DIL-LITH-GR-CNL FDC-SDN TD&amp;MD-</t>
  </si>
  <si>
    <t>26° 0' 5.4432" N</t>
  </si>
  <si>
    <t>80° 54' 40.6512" W</t>
  </si>
  <si>
    <t>2697'FNL&amp;1800'FEL</t>
  </si>
  <si>
    <t>3354.44'S&amp;1056.38'E of SHL</t>
  </si>
  <si>
    <t>24"@176'</t>
  </si>
  <si>
    <t>16"@2225'</t>
  </si>
  <si>
    <t>9 5/8"@12227'</t>
  </si>
  <si>
    <t>3.5"@10135'</t>
  </si>
  <si>
    <t>226 BOPD</t>
  </si>
  <si>
    <t>4878 BSWPD</t>
  </si>
  <si>
    <t>OH HZ 12196-13405 MD</t>
  </si>
  <si>
    <t>0902120204</t>
  </si>
  <si>
    <t>Alternate PA Number: 309932</t>
  </si>
  <si>
    <t>OG_1335</t>
  </si>
  <si>
    <t>CENTURY OIL</t>
  </si>
  <si>
    <t>HUGH STARNES 30-2</t>
  </si>
  <si>
    <t>CBL-GR-DIL-DIP-BHC-SDN-TEMP-DRIFT-BHPXMRI</t>
  </si>
  <si>
    <t>26° 26' 50.98262" N</t>
  </si>
  <si>
    <t>81° 33' 28.69885" W</t>
  </si>
  <si>
    <t>1416'FNL&amp;1491'FWL</t>
  </si>
  <si>
    <t>.54'N&amp;11.52'E of SHL</t>
  </si>
  <si>
    <t>24"@211'</t>
  </si>
  <si>
    <t>13 3/8"@1943'</t>
  </si>
  <si>
    <t>9 5/8"@4002'</t>
  </si>
  <si>
    <t>5-1/2" @11934'</t>
  </si>
  <si>
    <t>2-7/8" @11,810</t>
  </si>
  <si>
    <t>11824-11835</t>
  </si>
  <si>
    <t>TOC 3,836'</t>
  </si>
  <si>
    <t>0902120207</t>
  </si>
  <si>
    <t>Alternate PA Number: 305484</t>
  </si>
  <si>
    <t>1335A</t>
  </si>
  <si>
    <t>HUGH STARNES 30-1</t>
  </si>
  <si>
    <t>920'FNL&amp;920'FEL</t>
  </si>
  <si>
    <t>0902120207-01</t>
  </si>
  <si>
    <t>1335B</t>
  </si>
  <si>
    <t>TREND EXPLORATION LLC</t>
  </si>
  <si>
    <t>HUGH STARNES 30-4B</t>
  </si>
  <si>
    <t>Withdrawn/ Never Drilled</t>
  </si>
  <si>
    <t>1335C</t>
  </si>
  <si>
    <t>HUGH STARNES 30-4C</t>
  </si>
  <si>
    <t>DRY HOLE/TA</t>
  </si>
  <si>
    <t>1672'FSL&amp;920'FEL</t>
  </si>
  <si>
    <t>12814-12517, 4004-3836</t>
  </si>
  <si>
    <t>0902120207-02</t>
  </si>
  <si>
    <t>1335D</t>
  </si>
  <si>
    <t>COLLIER RESOURCES 25-1</t>
  </si>
  <si>
    <t>26° 26' 51" N</t>
  </si>
  <si>
    <t>81° 33' 28.17" W</t>
  </si>
  <si>
    <t>1416FNL&amp;1500FEL T46S R27E Sec25</t>
  </si>
  <si>
    <t>DPX until 6/20/2021</t>
  </si>
  <si>
    <t>OG_1337</t>
  </si>
  <si>
    <t>CLCC 27-7HL</t>
  </si>
  <si>
    <t>26° 0' 5.29298" N</t>
  </si>
  <si>
    <t>80° 54' 41.40959" W</t>
  </si>
  <si>
    <t>2648'FNL&amp;1779'FEL</t>
  </si>
  <si>
    <t>186'W&amp;4064'N of SHL</t>
  </si>
  <si>
    <t>1338HL</t>
  </si>
  <si>
    <t>OG_1338</t>
  </si>
  <si>
    <t>CLCC 27-8HL</t>
  </si>
  <si>
    <t>SDN MD&amp;TVD-GR-LITH-TEMP</t>
  </si>
  <si>
    <t>26° 0' 5.8104" N</t>
  </si>
  <si>
    <t>80° 54' 40.7556" W</t>
  </si>
  <si>
    <t>2583'FNL&amp;1836'FEL</t>
  </si>
  <si>
    <t>3274'FEL&amp;2000'FSL of Sec 22</t>
  </si>
  <si>
    <t>24""@236'</t>
  </si>
  <si>
    <t>16"@2154'</t>
  </si>
  <si>
    <t>10 3/4"@4225'</t>
  </si>
  <si>
    <t>7 5/8"@12240'</t>
  </si>
  <si>
    <t>3..5"@11715'</t>
  </si>
  <si>
    <t>220 BOPD</t>
  </si>
  <si>
    <t>3162 BSWPD</t>
  </si>
  <si>
    <t>OH HZ 12640-14300 MD</t>
  </si>
  <si>
    <t>0902120206</t>
  </si>
  <si>
    <t>1339HL</t>
  </si>
  <si>
    <t>OG_1339</t>
  </si>
  <si>
    <t>CLCC 27-9HL</t>
  </si>
  <si>
    <t>26° 0' 4.54299" N</t>
  </si>
  <si>
    <t>80° 54' 41.13959" W</t>
  </si>
  <si>
    <t>1340HL</t>
  </si>
  <si>
    <t>OG_1340</t>
  </si>
  <si>
    <t>RED CATTLE 29-7HL</t>
  </si>
  <si>
    <t>GR-LITH-SDN MD&amp;TVD</t>
  </si>
  <si>
    <t>26° 31' 38.9244" N</t>
  </si>
  <si>
    <t>81° 32' 48.4044" W</t>
  </si>
  <si>
    <t>150'FNL&amp;247'FWL</t>
  </si>
  <si>
    <t>2271'FSL&amp;807'FWL of Sec29</t>
  </si>
  <si>
    <t>24"@130'</t>
  </si>
  <si>
    <t>16"@1803'</t>
  </si>
  <si>
    <t>10 3/4"@3844'</t>
  </si>
  <si>
    <t>7 5/8"@12184'</t>
  </si>
  <si>
    <t>3 1/2" @ 12041'</t>
  </si>
  <si>
    <t>OH HZ 12465-13977 MD</t>
  </si>
  <si>
    <t>0905120118</t>
  </si>
  <si>
    <t>OG_1341</t>
  </si>
  <si>
    <t>RED CATTLE 32-5 SWDW</t>
  </si>
  <si>
    <t>BHCS-DIL-TEMP-X-Y CALw/GR</t>
  </si>
  <si>
    <t>26° 31' 38.2692" N</t>
  </si>
  <si>
    <t>81° 32' 47.886" W</t>
  </si>
  <si>
    <t>197'FNL&amp;318'FWL</t>
  </si>
  <si>
    <t>30"@80"/24"@160'</t>
  </si>
  <si>
    <t>18"@750'</t>
  </si>
  <si>
    <t>10 3/4"@1990'</t>
  </si>
  <si>
    <t>0905120119</t>
  </si>
  <si>
    <t>EPA permit # FLI0039/FLS0510014</t>
  </si>
  <si>
    <t>OG_1342</t>
  </si>
  <si>
    <t>COLLIER CORPORATION 34-6</t>
  </si>
  <si>
    <t>26° 15' 31.2192" N</t>
  </si>
  <si>
    <t>81° 18' 15.606" W</t>
  </si>
  <si>
    <t>2180' FSL&amp;1057FEL</t>
  </si>
  <si>
    <t>30"@76'/24"@230'</t>
  </si>
  <si>
    <t>18"@850'</t>
  </si>
  <si>
    <t>10 3/4"@2003'</t>
  </si>
  <si>
    <t>0902120213</t>
  </si>
  <si>
    <t>EPA permit # FLI0040/FLS0210018</t>
  </si>
  <si>
    <t>OG_1343</t>
  </si>
  <si>
    <t>OLEUM CORP 35-5 SWDW</t>
  </si>
  <si>
    <t>CBL-BHCS-DIL-TEMP-X-Y CALw/GR</t>
  </si>
  <si>
    <t>S35 51S 34E</t>
  </si>
  <si>
    <t>25° 59' 0.2148" N</t>
  </si>
  <si>
    <t>80° 54' 2.394" W</t>
  </si>
  <si>
    <t>1406'FNL&amp;1713'FWL</t>
  </si>
  <si>
    <t>30"@80'/24"@303'</t>
  </si>
  <si>
    <t>18"@1005'</t>
  </si>
  <si>
    <t>10 3/4"@2250'</t>
  </si>
  <si>
    <t>0902120214</t>
  </si>
  <si>
    <t>EPA permit # FLI0041/FLS0210019</t>
  </si>
  <si>
    <t>1344AH</t>
  </si>
  <si>
    <t>OG_1344</t>
  </si>
  <si>
    <t>CLCC 27-10H</t>
  </si>
  <si>
    <t>GR-LITH-CNL GR-CDL</t>
  </si>
  <si>
    <t>S28 51S 34E</t>
  </si>
  <si>
    <t>25° 59' 59.0352" N</t>
  </si>
  <si>
    <t>80° 55' 28.0776" W</t>
  </si>
  <si>
    <t>2002'FSL&amp;787'FEL</t>
  </si>
  <si>
    <t>795'FSL&amp;1102'FWL of Sec22</t>
  </si>
  <si>
    <t>24"@156.5'</t>
  </si>
  <si>
    <t>16"@2162'</t>
  </si>
  <si>
    <t>10 3/4"@4205'</t>
  </si>
  <si>
    <t>4 5/8"@12869'</t>
  </si>
  <si>
    <t>OH HZ 13025-15166 MD</t>
  </si>
  <si>
    <t>0902120208</t>
  </si>
  <si>
    <t>1345HL</t>
  </si>
  <si>
    <t>OG_1345</t>
  </si>
  <si>
    <t>COLLIER CORPORATION 2-12HL</t>
  </si>
  <si>
    <t>CNLDN-</t>
  </si>
  <si>
    <t>S2 49S 30E</t>
  </si>
  <si>
    <t>26° 14' 54.366" N</t>
  </si>
  <si>
    <t>81° 17' 44.5632" W</t>
  </si>
  <si>
    <t>1590'FNL&amp;1563'FWL</t>
  </si>
  <si>
    <t>600'FNL&amp;741'FWL</t>
  </si>
  <si>
    <t>16"@1928'</t>
  </si>
  <si>
    <t>10 3/4"@3818'</t>
  </si>
  <si>
    <t>7 5/8"@12685'</t>
  </si>
  <si>
    <t>3 1/2"@11,100'</t>
  </si>
  <si>
    <t>7 MCFD</t>
  </si>
  <si>
    <t>OH HZ 12438-13815 MD</t>
  </si>
  <si>
    <t>0902120210</t>
  </si>
  <si>
    <t>1346HL</t>
  </si>
  <si>
    <t>OG_1346</t>
  </si>
  <si>
    <t>COLLIER LAND CORPORATION 2-13HL</t>
  </si>
  <si>
    <t>LITH-CNLDN-GR-NEU-GR-CBL</t>
  </si>
  <si>
    <t>26° 14' 55.0392" N</t>
  </si>
  <si>
    <t>81° 17' 49.3728" W</t>
  </si>
  <si>
    <t>1514'FNL&amp;1116'FWL</t>
  </si>
  <si>
    <t>1385'FSL&amp;1068'FEL</t>
  </si>
  <si>
    <t>24"@175'</t>
  </si>
  <si>
    <t>16"@1949.5'</t>
  </si>
  <si>
    <t>10 3/4"@3877.5'</t>
  </si>
  <si>
    <t>7 5/8"@13943.5'</t>
  </si>
  <si>
    <t>42 BOPD</t>
  </si>
  <si>
    <t>3.5 MCFD</t>
  </si>
  <si>
    <t>2492 BWPD</t>
  </si>
  <si>
    <t>OH HZ 14350-15985 MD</t>
  </si>
  <si>
    <t>0902120209</t>
  </si>
  <si>
    <t>2 horizontal laterals</t>
  </si>
  <si>
    <t>1347H</t>
  </si>
  <si>
    <t>OG_1347</t>
  </si>
  <si>
    <t>TURNER 30-6HL</t>
  </si>
  <si>
    <t>26° 31' 52.6188" N</t>
  </si>
  <si>
    <t>81° 33' 6.4116" W</t>
  </si>
  <si>
    <t>Withdrawn</t>
  </si>
  <si>
    <t>1347AH</t>
  </si>
  <si>
    <t>TURNER 30-6AH</t>
  </si>
  <si>
    <t>LITH-CNLDN-GR-NEU</t>
  </si>
  <si>
    <t>S30 45S 28E</t>
  </si>
  <si>
    <t>1240'FSL&amp;1371'FEL</t>
  </si>
  <si>
    <t>830'FNL&amp;1873'FEL</t>
  </si>
  <si>
    <t>24"@163'</t>
  </si>
  <si>
    <t>16"@1921.5'</t>
  </si>
  <si>
    <t>10 3/4"@3974.5'</t>
  </si>
  <si>
    <t>7 5/8"@12328'</t>
  </si>
  <si>
    <t>3 1/2"@11,080'</t>
  </si>
  <si>
    <t>109 BOPD</t>
  </si>
  <si>
    <t>605 BWPD</t>
  </si>
  <si>
    <t>OH HZ 12631-14526 MD</t>
  </si>
  <si>
    <t>0905120120</t>
  </si>
  <si>
    <t>OG_1348</t>
  </si>
  <si>
    <t>VENTURE OIL &amp; GAS</t>
  </si>
  <si>
    <t>JERNIGAN 35-3</t>
  </si>
  <si>
    <t>AITGR-GR-DEN-SONIC-NEU</t>
  </si>
  <si>
    <t>3S35 6N 31W</t>
  </si>
  <si>
    <t>30° 59' 20.71146" N</t>
  </si>
  <si>
    <t>87° 18' 46.06377" W</t>
  </si>
  <si>
    <t>1350'FSL&amp;1420'FWL</t>
  </si>
  <si>
    <t>20"@82'</t>
  </si>
  <si>
    <t>9 5/8@3890'</t>
  </si>
  <si>
    <t>16200-15500 4040-3890 3890-3790 3766-3666 1240-840 120-20</t>
  </si>
  <si>
    <t>0903320053</t>
  </si>
  <si>
    <t>OG_1349</t>
  </si>
  <si>
    <t>DAN A. HUGHES</t>
  </si>
  <si>
    <t>COLLER-HOGAN 20-3H</t>
  </si>
  <si>
    <t>GR-CCL-TEMP-CAL</t>
  </si>
  <si>
    <t xml:space="preserve">BIG CYPRESS SWAMP </t>
  </si>
  <si>
    <t>3S20 47S 28E</t>
  </si>
  <si>
    <t>26° 22' 20.1612" N</t>
  </si>
  <si>
    <t>81° 32' 27.1176" W</t>
  </si>
  <si>
    <t>2116'FSL&amp;3315'FEL</t>
  </si>
  <si>
    <t>1342'FSL&amp;2003'FWL of Sec 21</t>
  </si>
  <si>
    <t>24"@222'</t>
  </si>
  <si>
    <t>13 3/8"@1715'</t>
  </si>
  <si>
    <t>9 5/8"@3964'</t>
  </si>
  <si>
    <t>7"@12440'</t>
  </si>
  <si>
    <t>3 1/2"@11065'</t>
  </si>
  <si>
    <t>9100-9130' cuttings</t>
  </si>
  <si>
    <t>0902120211</t>
  </si>
  <si>
    <t>Permit revoked July 2014</t>
  </si>
  <si>
    <t>OG_1350</t>
  </si>
  <si>
    <t>COLLIER-HOGAN 20-5 SWDW</t>
  </si>
  <si>
    <t>26° 22' 19.10968" N</t>
  </si>
  <si>
    <t>81° 32' 28.15789" W</t>
  </si>
  <si>
    <t>2016'FSL&amp;3413'FEL</t>
  </si>
  <si>
    <t>EPA permit # FLI0042/FLS0210020</t>
  </si>
  <si>
    <t>1351HL</t>
  </si>
  <si>
    <t>OG_1351</t>
  </si>
  <si>
    <t>BREITBURN</t>
  </si>
  <si>
    <t>CLCC 27-11HL</t>
  </si>
  <si>
    <t>25° 59' 57.31397" N</t>
  </si>
  <si>
    <t>80° 55' 28.87856" W</t>
  </si>
  <si>
    <t>1968'FSL&amp;795'FEL</t>
  </si>
  <si>
    <t>883'FNL&amp;727'FWL of Sec 34</t>
  </si>
  <si>
    <t>OG_1352</t>
  </si>
  <si>
    <t>COLLIER CORPORATION 3-7HL</t>
  </si>
  <si>
    <t>26° 14' 51.5148" N</t>
  </si>
  <si>
    <t>81° 18' 17.2728" W</t>
  </si>
  <si>
    <t>1850'FNL&amp;1490'FEL</t>
  </si>
  <si>
    <t>3046'FNL&amp;2765'FEL</t>
  </si>
  <si>
    <t>24"@220.5'</t>
  </si>
  <si>
    <t>16"@1926'</t>
  </si>
  <si>
    <t>2290-1638,1239-1087,721-573,511-415,131-15</t>
  </si>
  <si>
    <t>0902120212</t>
  </si>
  <si>
    <t>JUNKED HOLE, RIG SKIDDED 40' NE TO DRILL 1352AH</t>
  </si>
  <si>
    <t>1352AH</t>
  </si>
  <si>
    <t>COLLIER CORPORATION 3-7AH</t>
  </si>
  <si>
    <t>X-Y CAL-DIL</t>
  </si>
  <si>
    <t>1835'FNL&amp;1440'FEL</t>
  </si>
  <si>
    <t>3041'FNL&amp;2121'FEL</t>
  </si>
  <si>
    <t>24"@214'</t>
  </si>
  <si>
    <t>16"@1941'</t>
  </si>
  <si>
    <t>10 3/4"@3835'</t>
  </si>
  <si>
    <t>7 5/8"@13020'</t>
  </si>
  <si>
    <t>3 1/2"@11441.64'</t>
  </si>
  <si>
    <t>OH HZ 13314-14020 MD</t>
  </si>
  <si>
    <t>N?A</t>
  </si>
  <si>
    <t>0902120212-01</t>
  </si>
  <si>
    <t>1353H</t>
  </si>
  <si>
    <t>OG_1353</t>
  </si>
  <si>
    <t>COLLIER 22-3H</t>
  </si>
  <si>
    <t>3S22 49S 28E</t>
  </si>
  <si>
    <t>26° 11' 15.9612" N</t>
  </si>
  <si>
    <t>81° 30' 13.7268" W</t>
  </si>
  <si>
    <t>1959'FSL&amp;950'FWL</t>
  </si>
  <si>
    <t>1017'FNL&amp;543'FEL of Sec 27</t>
  </si>
  <si>
    <t>OG_1354</t>
  </si>
  <si>
    <t>COLLIER 22-5 SWDW</t>
  </si>
  <si>
    <t>26° 11' 17.24484" N</t>
  </si>
  <si>
    <t>81° 30' 12.30295" W</t>
  </si>
  <si>
    <t>2082'FSL&amp;1072'FWL</t>
  </si>
  <si>
    <t>EPA permit # FLI0047/FLS0210021</t>
  </si>
  <si>
    <t>1355H</t>
  </si>
  <si>
    <t>OG_1355</t>
  </si>
  <si>
    <t>COLLIER 7-2H</t>
  </si>
  <si>
    <t>2S7 47S 29E</t>
  </si>
  <si>
    <t>26° 24' 15.61964" N</t>
  </si>
  <si>
    <t>81° 27' 49.75146" W</t>
  </si>
  <si>
    <t>2314'FNL&amp;399'FWL</t>
  </si>
  <si>
    <t>1150'FSL&amp;144'FEL of SEC 6</t>
  </si>
  <si>
    <t>OG_1356</t>
  </si>
  <si>
    <t>COLLIER 7-5 SWDW</t>
  </si>
  <si>
    <t>26° 24' 14.24467" N</t>
  </si>
  <si>
    <t>81° 27' 50.57497" W</t>
  </si>
  <si>
    <t>2358'FNL&amp;265'FWL</t>
  </si>
  <si>
    <t>EPA permit # FLI0048/FLS0210022</t>
  </si>
  <si>
    <t>OG_1357</t>
  </si>
  <si>
    <t>KEROGEN</t>
  </si>
  <si>
    <t>INDIGO 20-1</t>
  </si>
  <si>
    <t>1S20 44S 32E</t>
  </si>
  <si>
    <t>26° 38' 51.7812" N</t>
  </si>
  <si>
    <t>81° 8' 50.8092" W</t>
  </si>
  <si>
    <t>1000'FNL&amp;1000'FEL</t>
  </si>
  <si>
    <t>OG_1359</t>
  </si>
  <si>
    <t>GALLOWAY 17-1</t>
  </si>
  <si>
    <t>S17 6N 17W</t>
  </si>
  <si>
    <t>30° 56' 7.04924" N</t>
  </si>
  <si>
    <t>85° 57' 36.64373" W</t>
  </si>
  <si>
    <t>662.5'FNL&amp;2312.5'FWL</t>
  </si>
  <si>
    <t>14"@51'</t>
  </si>
  <si>
    <t>8 5/8" @ 210'</t>
  </si>
  <si>
    <t>1180-1530 501-910 0-383</t>
  </si>
  <si>
    <t>0905920002</t>
  </si>
  <si>
    <t>OG_1360</t>
  </si>
  <si>
    <t>COLLIER 25-4</t>
  </si>
  <si>
    <t>4S25 46S 27E</t>
  </si>
  <si>
    <t>26° 26' 27.71263" N</t>
  </si>
  <si>
    <t>81° 34' 0.90884" W</t>
  </si>
  <si>
    <t>1021.14'FNL&amp;1319.69'FWL</t>
  </si>
  <si>
    <t>OG_1361</t>
  </si>
  <si>
    <t>PITTMAN 26-3</t>
  </si>
  <si>
    <t>S26 5N 29W</t>
  </si>
  <si>
    <t>30° 55' 46.97938" N</t>
  </si>
  <si>
    <t>87° 6' 6.4636" W</t>
  </si>
  <si>
    <t>1138'FWL&amp;2583'FSL</t>
  </si>
  <si>
    <t>OG_1362</t>
  </si>
  <si>
    <t>BRAY 10-8</t>
  </si>
  <si>
    <t>CBL-GR-CCL-VDL-CN-RES SAT</t>
  </si>
  <si>
    <t>S10 5N 29W</t>
  </si>
  <si>
    <t>30° 57' 22.76237" N</t>
  </si>
  <si>
    <t>87° 9' 30.50052" W</t>
  </si>
  <si>
    <t>1170'FSL&amp;934'FEL</t>
  </si>
  <si>
    <t>16 "@90'</t>
  </si>
  <si>
    <t>10 3/4"@3825'</t>
  </si>
  <si>
    <t>7"@15875'</t>
  </si>
  <si>
    <t>3 1/2"@14117'</t>
  </si>
  <si>
    <t>15736-15764</t>
  </si>
  <si>
    <t>0911320270</t>
  </si>
  <si>
    <t>OG_1363</t>
  </si>
  <si>
    <t>McMILLAN ETAL 7-10</t>
  </si>
  <si>
    <t>S7 5N 29W</t>
  </si>
  <si>
    <t>30° 58' 49.04636" N</t>
  </si>
  <si>
    <t>87° 10' 42.19849" W</t>
  </si>
  <si>
    <t>709'FNL&amp;7358'FEL</t>
  </si>
  <si>
    <t>16"@96'</t>
  </si>
  <si>
    <t>10 3/4"@3783'</t>
  </si>
  <si>
    <t>4 1/2"15689'</t>
  </si>
  <si>
    <t>3 1/2"@14111'</t>
  </si>
  <si>
    <t>743 MCFD</t>
  </si>
  <si>
    <t>2805 BSWD</t>
  </si>
  <si>
    <t>14328-15526 (4 intervals)</t>
  </si>
  <si>
    <t>0911320271</t>
  </si>
  <si>
    <t>Initial issues @ TD, finish drilling in 2017 w/side track w/liner to new TD EPA ID# FLI1130080/ EPA permit FLI0052</t>
  </si>
  <si>
    <t>OG_1364</t>
  </si>
  <si>
    <t>LESTER STOKES 19-10</t>
  </si>
  <si>
    <t>SONIC-NEUT-CBL-CN-GR-RS-CCL</t>
  </si>
  <si>
    <t>30° 56' 29.3712" N</t>
  </si>
  <si>
    <t>87° 10' 19.3404" W</t>
  </si>
  <si>
    <t>885'FSL&amp;189'FWL</t>
  </si>
  <si>
    <t>16 "@89'</t>
  </si>
  <si>
    <t>10 3/4"@3846'</t>
  </si>
  <si>
    <t>7"@15908'</t>
  </si>
  <si>
    <t>3 1/2"@15525'</t>
  </si>
  <si>
    <t>170 BOPD</t>
  </si>
  <si>
    <t>542 MCF</t>
  </si>
  <si>
    <t>5683 BSWPD</t>
  </si>
  <si>
    <t>15700-15720</t>
  </si>
  <si>
    <t>0911320269</t>
  </si>
  <si>
    <t>OG_1365</t>
  </si>
  <si>
    <t>ADAMS 10-10</t>
  </si>
  <si>
    <t>30° 57' 45.36" N</t>
  </si>
  <si>
    <t>87° 10' 19.2" W</t>
  </si>
  <si>
    <t>1879'FNL&amp;109'FWL</t>
  </si>
  <si>
    <t>0911320272</t>
  </si>
  <si>
    <t>OG_1366</t>
  </si>
  <si>
    <t>KANTER CORP.</t>
  </si>
  <si>
    <t>KANTER 23-1</t>
  </si>
  <si>
    <t>PERMIT SURRENDERED</t>
  </si>
  <si>
    <t>S23 51S 38E</t>
  </si>
  <si>
    <t>25° 59' 55" N</t>
  </si>
  <si>
    <t>80° 31' 7" W</t>
  </si>
  <si>
    <t>920'FNL&amp;920'FWL</t>
  </si>
  <si>
    <t>Agreement for State Lands purchase</t>
  </si>
  <si>
    <t>OG_1367</t>
  </si>
  <si>
    <t>McMILLAN ETAL 37-6</t>
  </si>
  <si>
    <t>30° 59' 33.97935" N</t>
  </si>
  <si>
    <t>87° 11' 32.8125" W</t>
  </si>
  <si>
    <t>1899'FNL&amp;2297'FNL</t>
  </si>
  <si>
    <t>2904'FNL&amp;4357'FSEL</t>
  </si>
  <si>
    <t>OG_1368</t>
  </si>
  <si>
    <t>McMILLAN ETAL 7-11</t>
  </si>
  <si>
    <t>30° 58' 49.57934" N</t>
  </si>
  <si>
    <t>87° 10' 12.04253" W</t>
  </si>
  <si>
    <t>497'FNL&amp;2967'FEL</t>
  </si>
  <si>
    <t>886' N 53-20'-49" W of SHL</t>
  </si>
  <si>
    <t>OG_1369</t>
  </si>
  <si>
    <t>BREITBURN 40-5</t>
  </si>
  <si>
    <t>S39 5N 30W</t>
  </si>
  <si>
    <t>30° 57' 51.04937" N</t>
  </si>
  <si>
    <t>87° 11' 47.52249" W</t>
  </si>
  <si>
    <t>257'FSL&amp;475'FWL</t>
  </si>
  <si>
    <t>1897' N 31-56'-48" W of SHL</t>
  </si>
  <si>
    <t>OG_1370</t>
  </si>
  <si>
    <t>HUNT 7-3</t>
  </si>
  <si>
    <t>BHC SONIC-LITH-DENSITY-DIR</t>
  </si>
  <si>
    <t>S7 3S 10W</t>
  </si>
  <si>
    <t>30° 14' 4.68373" N</t>
  </si>
  <si>
    <t>85° 16' 57.05654" W</t>
  </si>
  <si>
    <t>1650'FSL&amp;1452'FWL</t>
  </si>
  <si>
    <t>1687'FSL&amp;1472'FWL</t>
  </si>
  <si>
    <t>20"@279'</t>
  </si>
  <si>
    <t>9 5/8"@3,079'</t>
  </si>
  <si>
    <t>12160-11600, 3225-2925, 1700-1300, 400-0</t>
  </si>
  <si>
    <t>0901320004</t>
  </si>
  <si>
    <t>OG_1371</t>
  </si>
  <si>
    <t>HENDRICKS 19-12</t>
  </si>
  <si>
    <t>S18 5N 29W</t>
  </si>
  <si>
    <t>30° 56' 41.27" N</t>
  </si>
  <si>
    <t>87° 9' 9.39" W</t>
  </si>
  <si>
    <t>976'FWL&amp;256.9.FSL</t>
  </si>
  <si>
    <t>264.8'FEL&amp;1657.7'FSL of SEC 19</t>
  </si>
  <si>
    <t>DPX until 9/03/2021</t>
  </si>
  <si>
    <t>OG_1372</t>
  </si>
  <si>
    <t>BRAY 10-11</t>
  </si>
  <si>
    <t>30° 57' 22.34" N</t>
  </si>
  <si>
    <t>87° 9' 33.364" W</t>
  </si>
  <si>
    <t>1183.9'FSL$1175.4'FEL</t>
  </si>
  <si>
    <t>133.9'FSL$2791.19'FEL</t>
  </si>
  <si>
    <t>20"@79'</t>
  </si>
  <si>
    <t>7"@16109'</t>
  </si>
  <si>
    <t>3 1/2"@15684'</t>
  </si>
  <si>
    <t>205 BOPD</t>
  </si>
  <si>
    <t>287 MCFD</t>
  </si>
  <si>
    <t>2630 BSWD</t>
  </si>
  <si>
    <t>15950-16010</t>
  </si>
  <si>
    <t>0911320276</t>
  </si>
  <si>
    <t>DPX until 6/13/2019</t>
  </si>
  <si>
    <t>OG_1373</t>
  </si>
  <si>
    <t>STOKES 19-11</t>
  </si>
  <si>
    <t>RADIAL BOND</t>
  </si>
  <si>
    <t>S19 5N 29W</t>
  </si>
  <si>
    <t>30° 56' 26.53" N</t>
  </si>
  <si>
    <t>87° 10' 19.5" W</t>
  </si>
  <si>
    <t>530.30'FSL&amp;227.31'FWL</t>
  </si>
  <si>
    <t>106.4'FSL&amp;2569.99'FWL</t>
  </si>
  <si>
    <t>10 3/4"@3777'</t>
  </si>
  <si>
    <t>7"@16294'</t>
  </si>
  <si>
    <t>3 1/2"@15898'</t>
  </si>
  <si>
    <t>4849 BWPD</t>
  </si>
  <si>
    <t>16070-16248</t>
  </si>
  <si>
    <t>0911320274</t>
  </si>
  <si>
    <t>OG_1374</t>
  </si>
  <si>
    <t>CHOLLA</t>
  </si>
  <si>
    <t>NLT ROYALTY PARTNERS 10-4</t>
  </si>
  <si>
    <t>S10 3S 9W</t>
  </si>
  <si>
    <t>30° 14' 2.07" N</t>
  </si>
  <si>
    <t>85° 7' 28.57" W</t>
  </si>
  <si>
    <t>OG_1375</t>
  </si>
  <si>
    <t>NLT ROYALTY PARTNERS 10-1</t>
  </si>
  <si>
    <t>OG_1376</t>
  </si>
  <si>
    <t>NLT ROYALTY PARTNERS 4-4</t>
  </si>
  <si>
    <t>S4 3S 9W</t>
  </si>
  <si>
    <t>30° 14' 47.4" N</t>
  </si>
  <si>
    <t>85° 8' 30.5" W</t>
  </si>
  <si>
    <t>OG_1377</t>
  </si>
  <si>
    <t>NLT ROYALTY PARTNERS 26-4</t>
  </si>
  <si>
    <t>S26 2S 9W</t>
  </si>
  <si>
    <t>30° 16' 38" N</t>
  </si>
  <si>
    <t>85° 6' 20.9" W</t>
  </si>
  <si>
    <t>OG_1378</t>
  </si>
  <si>
    <t>NLT ROYALTY PARTNERS 25-3</t>
  </si>
  <si>
    <t>85° 6' 20.53" W</t>
  </si>
  <si>
    <t>OG_1379</t>
  </si>
  <si>
    <t>NLT ROYALTY PARTNERS 19-1</t>
  </si>
  <si>
    <t>S19 3S 9W</t>
  </si>
  <si>
    <t>30° 12' 39.6" N</t>
  </si>
  <si>
    <t>85° 10' 37.6" W</t>
  </si>
  <si>
    <t>OG_1380</t>
  </si>
  <si>
    <t>SKLAR</t>
  </si>
  <si>
    <t>BATES 2-2</t>
  </si>
  <si>
    <t>COMP DENSITY GR-LITH-CORE GR</t>
  </si>
  <si>
    <t>S2 5N 29W</t>
  </si>
  <si>
    <t>30° 58' 1.53" N</t>
  </si>
  <si>
    <t>87° 7' 5.4" W</t>
  </si>
  <si>
    <t>1500'FSL&amp;1072'FWL</t>
  </si>
  <si>
    <t>1464'FSL&amp;1347'FWL</t>
  </si>
  <si>
    <t>24"@194'</t>
  </si>
  <si>
    <t>16"@508'</t>
  </si>
  <si>
    <t>10 3/4"@3828'</t>
  </si>
  <si>
    <t>5 1/2"@15231'</t>
  </si>
  <si>
    <t>510 BOPD</t>
  </si>
  <si>
    <t>449 MCFD</t>
  </si>
  <si>
    <t>1 BSWD</t>
  </si>
  <si>
    <t>15274-15286</t>
  </si>
  <si>
    <t>0911320275</t>
  </si>
  <si>
    <t>OG_1381</t>
  </si>
  <si>
    <t>POLK ESTATE ET AL 13-5</t>
  </si>
  <si>
    <t>CORE GAMMA-POR-PERM-MUD-DIR</t>
  </si>
  <si>
    <t>S13 5N 29W</t>
  </si>
  <si>
    <t>30° 57' 32.1" N</t>
  </si>
  <si>
    <t>87° 6' 41" W</t>
  </si>
  <si>
    <t>2521'FSL&amp;2020'FEL</t>
  </si>
  <si>
    <t>2436'FSL&amp;2333'FEL</t>
  </si>
  <si>
    <t>24"@80'</t>
  </si>
  <si>
    <t>16"@485'</t>
  </si>
  <si>
    <t>10 3/4@3836'</t>
  </si>
  <si>
    <t>5 1/2@15344'</t>
  </si>
  <si>
    <t>504 BOPD</t>
  </si>
  <si>
    <t>517 MCFD</t>
  </si>
  <si>
    <t>20 BSWD</t>
  </si>
  <si>
    <t>15298-15309</t>
  </si>
  <si>
    <t>0911320273</t>
  </si>
  <si>
    <t>OG_1382</t>
  </si>
  <si>
    <t>PITNIC LIMITED 16-3</t>
  </si>
  <si>
    <t>LITH-DENSITY-NEUTRON-HI DEF IND</t>
  </si>
  <si>
    <t>S15 5N 29W</t>
  </si>
  <si>
    <t>30° 56' 32.5" N</t>
  </si>
  <si>
    <t>87° 6' 18.289" W</t>
  </si>
  <si>
    <t>1882'FSL&amp;15'FWL Sec15</t>
  </si>
  <si>
    <t>2657"FSL&amp;833'FELSec16</t>
  </si>
  <si>
    <t>22"@80'</t>
  </si>
  <si>
    <t>16"@502'</t>
  </si>
  <si>
    <t>10 3/4@3860'</t>
  </si>
  <si>
    <t>7"@15069'</t>
  </si>
  <si>
    <t>4 1/2"@15287</t>
  </si>
  <si>
    <t>658 BOPD</t>
  </si>
  <si>
    <t>1442 MCFD</t>
  </si>
  <si>
    <t>15125-15154'</t>
  </si>
  <si>
    <t>0911320277</t>
  </si>
  <si>
    <t>OG_1383</t>
  </si>
  <si>
    <t>DRAWBRIDGE ENERGY</t>
  </si>
  <si>
    <t>INDIGO 33-4</t>
  </si>
  <si>
    <t>S33 43S 32E</t>
  </si>
  <si>
    <t>26° 41' 51.39" N</t>
  </si>
  <si>
    <t>81° 7' 56.65" W</t>
  </si>
  <si>
    <t>1121FSL&amp;1020FEL</t>
  </si>
  <si>
    <t>OG_1384</t>
  </si>
  <si>
    <t>RED CATTLE 29-4BH</t>
  </si>
  <si>
    <t>DRILLING</t>
  </si>
  <si>
    <t>DIR-LITHO-RADIAL BOND-DENSILOG</t>
  </si>
  <si>
    <t>26° 31' 56.4312" N</t>
  </si>
  <si>
    <t>81° 26' 12.5952" W</t>
  </si>
  <si>
    <t>1150FSL&amp;1450FEL</t>
  </si>
  <si>
    <t>24"@195'</t>
  </si>
  <si>
    <t>13 3/8"@1366'</t>
  </si>
  <si>
    <t>9 5/8"@4026'</t>
  </si>
  <si>
    <t>7 5/8"@11625'</t>
  </si>
  <si>
    <t>11466.5-11470.5</t>
  </si>
  <si>
    <t>0905120121</t>
  </si>
  <si>
    <t>OG_1385</t>
  </si>
  <si>
    <t>BOUTWELL 22-5</t>
  </si>
  <si>
    <t>S22 5N 29W</t>
  </si>
  <si>
    <t>30° 55' 57.425" N</t>
  </si>
  <si>
    <t>87° 9' 41.97" W</t>
  </si>
  <si>
    <t>2290.1'FNL&amp;1780.2'FEL</t>
  </si>
  <si>
    <t>1989.4'FNL&amp;2029'FWL</t>
  </si>
  <si>
    <t>DPX until 8/21/2021</t>
  </si>
  <si>
    <t>OG_1386</t>
  </si>
  <si>
    <t>SMITH 31-2B</t>
  </si>
  <si>
    <t>S31 5N 29W</t>
  </si>
  <si>
    <t>30° 55' 19.245" N</t>
  </si>
  <si>
    <t>87° 9' 32.367" W</t>
  </si>
  <si>
    <t>905.2'FNL&amp;845.6'FEL</t>
  </si>
  <si>
    <t>OG_1387</t>
  </si>
  <si>
    <t>BOUTWELL 22-6</t>
  </si>
  <si>
    <t>30° 55' 57.45" N</t>
  </si>
  <si>
    <t>87° 9' 40.57" W</t>
  </si>
  <si>
    <t>2283.1'FNL&amp;1658.4'FEL</t>
  </si>
  <si>
    <t>2534'FSL&amp;1298.7'FEL</t>
  </si>
  <si>
    <t>OG_1388</t>
  </si>
  <si>
    <t>CLEARWATER LAND &amp; MINERALS</t>
  </si>
  <si>
    <t>OG_1393</t>
  </si>
  <si>
    <t>BEAR CREEK 34-4 #1</t>
  </si>
  <si>
    <t>XY CALIPER-MUD-DIR-DENSILOG-IND</t>
  </si>
  <si>
    <t>S34 3S 11W</t>
  </si>
  <si>
    <t>30° 10' 29.2008" N</t>
  </si>
  <si>
    <t>85° 19' 55.13" W</t>
  </si>
  <si>
    <t>1101'FWL&amp;1114'FSL</t>
  </si>
  <si>
    <t>1453'FWL &amp; 1527'FSL</t>
  </si>
  <si>
    <t>20"@333'</t>
  </si>
  <si>
    <t>9 5/8@3067'</t>
  </si>
  <si>
    <t>11000'-12680'</t>
  </si>
  <si>
    <t>OPEN HOLE</t>
  </si>
  <si>
    <t>3327-2987, 2917-2987,1260-860,400-0</t>
  </si>
  <si>
    <t>0904520006</t>
  </si>
  <si>
    <t>samples confidential until 8-24-2022</t>
  </si>
  <si>
    <t>OG_1394</t>
  </si>
  <si>
    <t>TREND EXPLORATION #27-3</t>
  </si>
  <si>
    <t>26° 26' 40.67844" N</t>
  </si>
  <si>
    <t>81° 25' 16.1616" W</t>
  </si>
  <si>
    <t>1452'FSL&amp;1073'FEL</t>
  </si>
  <si>
    <t>1720'FSL&amp;1720'FWLSec27</t>
  </si>
  <si>
    <t>Number of Applications</t>
  </si>
  <si>
    <t>CURRENT STATUS</t>
  </si>
  <si>
    <t>Number of Permits</t>
  </si>
  <si>
    <t>BREVARD</t>
  </si>
  <si>
    <t>OTHER (ACTIVE)</t>
  </si>
  <si>
    <t>County Totals</t>
  </si>
  <si>
    <t>&lt;== Select the County from the drop down list.</t>
  </si>
  <si>
    <t>Wells Drilled</t>
  </si>
  <si>
    <t>Plugged Wells</t>
  </si>
  <si>
    <t>Active Wells</t>
  </si>
  <si>
    <t>Because this data is linked to other tabs in the spreadsheet using a COUNTIF formula, it cannot be sorted directly on these tables using the Sort or Filter button. To sort, copy a table and "paste values" into blank cells on this page, then use the Sort or Filter buttons to rearrange the data as needed.</t>
  </si>
  <si>
    <t>HAMILTON</t>
  </si>
  <si>
    <t>SUMTER</t>
  </si>
  <si>
    <t>Abbreviation</t>
  </si>
  <si>
    <t xml:space="preserve">    Actual name in full</t>
  </si>
  <si>
    <t>ACI</t>
  </si>
  <si>
    <t>Acoustic casing inspection log</t>
  </si>
  <si>
    <t>BCS</t>
  </si>
  <si>
    <t>Borehole compensated sonic sr</t>
  </si>
  <si>
    <t>BCSG</t>
  </si>
  <si>
    <t xml:space="preserve">Borehole compensated sonic gamma ray </t>
  </si>
  <si>
    <t>BHCA</t>
  </si>
  <si>
    <t xml:space="preserve">Borehole acoustilog </t>
  </si>
  <si>
    <t>Borehole compensated sonic caliper</t>
  </si>
  <si>
    <t>BHC-Sonic</t>
  </si>
  <si>
    <t xml:space="preserve">Borehole compensated sonic w/ vdl </t>
  </si>
  <si>
    <t>CAL</t>
  </si>
  <si>
    <t>Caliper</t>
  </si>
  <si>
    <t>CAL GR</t>
  </si>
  <si>
    <t>Caliper gamma ray</t>
  </si>
  <si>
    <t>Cement bond log</t>
  </si>
  <si>
    <t>CBL GR</t>
  </si>
  <si>
    <t>Cement bond log with gamma ray</t>
  </si>
  <si>
    <t>CCL</t>
  </si>
  <si>
    <t>Casing collar log</t>
  </si>
  <si>
    <t>CCL GR</t>
  </si>
  <si>
    <t>Casing collar log gamma ray</t>
  </si>
  <si>
    <t>CDN</t>
  </si>
  <si>
    <t>Compensated density log</t>
  </si>
  <si>
    <t>CNL FDC</t>
  </si>
  <si>
    <t>Compensated neutron density</t>
  </si>
  <si>
    <t>CNL GR</t>
  </si>
  <si>
    <t>Compensated neutron gamma ray</t>
  </si>
  <si>
    <t>CNLDN</t>
  </si>
  <si>
    <t>CNLDN DIL LITI-</t>
  </si>
  <si>
    <t>Compensated neutron density gamma ray caliper litho fms</t>
  </si>
  <si>
    <t>CVL</t>
  </si>
  <si>
    <t>Continuous velocity log</t>
  </si>
  <si>
    <t>CYBERLOOK</t>
  </si>
  <si>
    <t>Cyberlook</t>
  </si>
  <si>
    <t>Dual induction laterolog</t>
  </si>
  <si>
    <t>DIP</t>
  </si>
  <si>
    <t>Dipmeter</t>
  </si>
  <si>
    <t>DL SFL S</t>
  </si>
  <si>
    <t>Dual induction SFL sonic</t>
  </si>
  <si>
    <t>DLL</t>
  </si>
  <si>
    <t>Dual induction gamma ray</t>
  </si>
  <si>
    <t>DLL BCS</t>
  </si>
  <si>
    <t>Dual induction laterolog  borehole compensated sonic cnl</t>
  </si>
  <si>
    <t>DLMLGA</t>
  </si>
  <si>
    <t>Dual laterolog micro laterolog gamma ray</t>
  </si>
  <si>
    <t>DVL</t>
  </si>
  <si>
    <t xml:space="preserve">Digital vertilog evauation </t>
  </si>
  <si>
    <t>EPILOG</t>
  </si>
  <si>
    <t xml:space="preserve">Optima analysis </t>
  </si>
  <si>
    <t>ETL</t>
  </si>
  <si>
    <t>Electromagnetic thickness log</t>
  </si>
  <si>
    <t>FMS</t>
  </si>
  <si>
    <t>Formation microscanner images</t>
  </si>
  <si>
    <t xml:space="preserve">GR </t>
  </si>
  <si>
    <t xml:space="preserve">Gamma ray </t>
  </si>
  <si>
    <t>GR CAL</t>
  </si>
  <si>
    <t>Gamma ray caliper</t>
  </si>
  <si>
    <t>GR CCL</t>
  </si>
  <si>
    <t>Gamma ray casing collar log</t>
  </si>
  <si>
    <t xml:space="preserve">HRIS SPEC </t>
  </si>
  <si>
    <t xml:space="preserve">High resolution induction long spaced sonic </t>
  </si>
  <si>
    <t>Induction electrical log</t>
  </si>
  <si>
    <t>Induction electrical log bore hole compensated sonic</t>
  </si>
  <si>
    <t>Induction electrical log gamma ray</t>
  </si>
  <si>
    <t>LSSONIC</t>
  </si>
  <si>
    <t>Long spaced sonic</t>
  </si>
  <si>
    <t>M SFL GR</t>
  </si>
  <si>
    <t>Micro sfl with gamma ray</t>
  </si>
  <si>
    <t>MSFLGR</t>
  </si>
  <si>
    <t>Mud log</t>
  </si>
  <si>
    <t>NEUTRON</t>
  </si>
  <si>
    <t>Neutron</t>
  </si>
  <si>
    <t>PERF</t>
  </si>
  <si>
    <t>Perforating depth control</t>
  </si>
  <si>
    <t>PI/SFL/GR</t>
  </si>
  <si>
    <t xml:space="preserve">Phasor induction/sfl gamma ray caliper </t>
  </si>
  <si>
    <t>PIDCN</t>
  </si>
  <si>
    <t xml:space="preserve">Phasor induction formation density compensated neutron </t>
  </si>
  <si>
    <t>PIFDCN</t>
  </si>
  <si>
    <t xml:space="preserve">Phasor induction formation compensated neutron </t>
  </si>
  <si>
    <t>RA</t>
  </si>
  <si>
    <t>Radioactive tracer log</t>
  </si>
  <si>
    <t>RE</t>
  </si>
  <si>
    <t>Resistivity</t>
  </si>
  <si>
    <t>SDN</t>
  </si>
  <si>
    <t>Spectral density dual spaced neutron</t>
  </si>
  <si>
    <t>Salinity log</t>
  </si>
  <si>
    <t>SNPL</t>
  </si>
  <si>
    <t>Sidewall neutron porosity log</t>
  </si>
  <si>
    <t>TEMP</t>
  </si>
  <si>
    <t>Temperature</t>
  </si>
  <si>
    <t>True vertical depth computed log</t>
  </si>
  <si>
    <t>X-Y CAL</t>
  </si>
  <si>
    <t>Z DENSILOG</t>
  </si>
  <si>
    <t>Density neutron gamma ray</t>
  </si>
  <si>
    <t>Definition</t>
  </si>
  <si>
    <t>Sequentially assigned number using decimals for subsequent permit modifications  (for purposes of  numeric field searching and sorting).</t>
  </si>
  <si>
    <t xml:space="preserve">Actual sequentially assigned permit file number (using a, b, c for subsequent permit modifications). </t>
  </si>
  <si>
    <t>Numbers used for searching in OCULUS and Information Portal</t>
  </si>
  <si>
    <t>Link to list of documents associated with permit on DEP Information Portal</t>
  </si>
  <si>
    <t>Link to interactive map of location on DEP MapDirect layer for Oil and Gas Permits</t>
  </si>
  <si>
    <t>County of bottom-hole location.</t>
  </si>
  <si>
    <t>Designation of producing field or wildcat.</t>
  </si>
  <si>
    <t>Official operator of record. Note that We made a change here blaklfls</t>
  </si>
  <si>
    <t>Operator - largest mineral holder in the drilling unit, followed by section number, quarter section number and  sequential number of wells in that drilling unit.</t>
  </si>
  <si>
    <t>Current well status (Producer, Injector, Saltwater Disposal, Temporarily Abandoned, Plugged &amp; Abandoned, Dry Hole, Junked Hole, Never Drilled)</t>
  </si>
  <si>
    <t>Historical status of the well</t>
  </si>
  <si>
    <t>Indication of oil show (mainly for Dry Holes)</t>
  </si>
  <si>
    <t>List of Geophysical Logs received for each well, available in Information Portal or OCULUS</t>
  </si>
  <si>
    <t>Federal or state lands where special regulatory considerations must be made in cases of parks or preserves.</t>
  </si>
  <si>
    <t xml:space="preserve">Description of federal lands affected by the proposed drilling.  </t>
  </si>
  <si>
    <t>Quarter-section, Section, Township, Range (NE qtr = 1, NW = 2, SW = 3, SE = 4).</t>
  </si>
  <si>
    <t>Latitude in degrees, minutes, decimal seconds</t>
  </si>
  <si>
    <t>Longitude in degrees, minutes, decimal seconds</t>
  </si>
  <si>
    <t xml:space="preserve">Surface-Hole distance in feet from closest drilling unit boundaries. </t>
  </si>
  <si>
    <t>Bottom-Hole distance in feet from closest drilling unit boundaries.</t>
  </si>
  <si>
    <t>Derrick floor height above ground surface at the surveyed well site. All well logs are referenced to this elevation.</t>
  </si>
  <si>
    <t>Ground surface elevation above mean sea level.</t>
  </si>
  <si>
    <t>Date of final agency action drilling permit (date final authority signed the permit).</t>
  </si>
  <si>
    <t>Date of initial drilling operations.</t>
  </si>
  <si>
    <t xml:space="preserve">Date of completion </t>
  </si>
  <si>
    <t>Date well was permanently plugged and abandoned.</t>
  </si>
  <si>
    <t>True Vertical Depth of wellbore</t>
  </si>
  <si>
    <t>Measured Depth of wellbore</t>
  </si>
  <si>
    <t>Size (diameter) and depth of conductor casing</t>
  </si>
  <si>
    <t>Size (diameter) and depth of surface casing</t>
  </si>
  <si>
    <t>Size (diameter) and depth of intermediate casing (if applicable)</t>
  </si>
  <si>
    <t>Size (diameter) and depth of conductor casing (if applicable)</t>
  </si>
  <si>
    <t>Cuttings  (yes or no).</t>
  </si>
  <si>
    <t>Core interval, if applicable.</t>
  </si>
  <si>
    <t>Core analysis, if available.</t>
  </si>
  <si>
    <t>Drill Stem Test  (yes or no).</t>
  </si>
  <si>
    <t xml:space="preserve">Initial oil production test rate </t>
  </si>
  <si>
    <t xml:space="preserve">Initial gas production test rate </t>
  </si>
  <si>
    <t xml:space="preserve">Initial salt water production test rate </t>
  </si>
  <si>
    <t>Interval of perforations or open hole completion.</t>
  </si>
  <si>
    <t>Plugged intervals in feet.</t>
  </si>
  <si>
    <t>Bottom-hole temperature in degrees Fahrenheit.</t>
  </si>
  <si>
    <t>Unique well number assigned in accordance with standards of the American Petroleum Institute.</t>
  </si>
  <si>
    <t>Cross-reference sample storage number within the Florida Geological Survey’s sample storage system.</t>
  </si>
  <si>
    <t>Project numbers used in house</t>
  </si>
  <si>
    <t>Miscellaneous comments for intra-office use.</t>
  </si>
  <si>
    <t>Field Type</t>
  </si>
  <si>
    <t>NUMBERS ONLY</t>
  </si>
  <si>
    <t>TEXT OK</t>
  </si>
  <si>
    <t>DATE</t>
  </si>
  <si>
    <t>Numbers</t>
  </si>
  <si>
    <t>Status</t>
  </si>
  <si>
    <t>Enter Permit Number&gt;&gt;&gt;</t>
  </si>
  <si>
    <t>RESULTS</t>
  </si>
  <si>
    <t>Total</t>
  </si>
  <si>
    <t>Wells Status</t>
  </si>
  <si>
    <t xml:space="preserve">ACTIVE WELLS </t>
  </si>
  <si>
    <t xml:space="preserve">PLUGGED WELLS </t>
  </si>
  <si>
    <t>ALL DRILLED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</si>
</sst>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0000"/>
    <numFmt numFmtId="166" formatCode="0.00000000"/>
    <numFmt numFmtId="167" formatCode="General;\-General;&quot;&quot;"/>
    <numFmt numFmtId="168" formatCode="#,###;#,###;&quot;&quot;"/>
    <numFmt numFmtId="169" formatCode="m/d/yyyy;\-General;&quot;&quot;"/>
  </numFmts>
  <fonts count="22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3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10"/>
      <color rgb="FF333333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4"/>
      <color rgb="FF0070C0"/>
      <name val="Arial"/>
      <family val="2"/>
    </font>
    <font>
      <b/>
      <sz val="11"/>
      <name val="Arial"/>
      <family val="2"/>
    </font>
    <font>
      <b/>
      <sz val="28"/>
      <color rgb="FF0070C0"/>
      <name val="Arial"/>
      <family val="2"/>
    </font>
    <font>
      <sz val="28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0" fillId="0" borderId="0"/>
    <xf numFmtId="0" fontId="7" fillId="0" borderId="0">
      <alignment vertical="top"/>
      <protection locked="0"/>
    </xf>
    <xf numFmtId="0" fontId="12" fillId="11" borderId="18"/>
    <xf numFmtId="0" fontId="14" fillId="0" borderId="19"/>
  </cellStyleXfs>
  <cellXfs count="150">
    <xf numFmtId="0" fontId="0" fillId="0" borderId="0" xfId="0"/>
    <xf numFmtId="1" fontId="0" fillId="0" borderId="0" xfId="0" applyNumberFormat="1"/>
    <xf numFmtId="164" fontId="2" fillId="2" borderId="0" xfId="0" applyNumberFormat="1" applyFont="1" applyFill="1"/>
    <xf numFmtId="1" fontId="2" fillId="2" borderId="0" xfId="0" applyNumberFormat="1" applyFont="1" applyFill="1"/>
    <xf numFmtId="0" fontId="2" fillId="2" borderId="0" xfId="0" applyFont="1" applyFill="1"/>
    <xf numFmtId="164" fontId="3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5" fontId="0" fillId="4" borderId="0" xfId="0" applyNumberFormat="1" applyFill="1"/>
    <xf numFmtId="165" fontId="2" fillId="5" borderId="0" xfId="0" applyNumberFormat="1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8" fillId="4" borderId="0" xfId="0" applyNumberFormat="1" applyFont="1" applyFill="1"/>
    <xf numFmtId="1" fontId="2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/>
    <xf numFmtId="49" fontId="10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165" fontId="0" fillId="4" borderId="0" xfId="0" applyNumberFormat="1" applyFill="1" applyAlignment="1">
      <alignment horizontal="right"/>
    </xf>
    <xf numFmtId="1" fontId="1" fillId="0" borderId="0" xfId="0" quotePrefix="1" applyNumberFormat="1" applyFont="1" applyAlignment="1">
      <alignment horizontal="center"/>
    </xf>
    <xf numFmtId="1" fontId="0" fillId="0" borderId="0" xfId="0" quotePrefix="1" applyNumberFormat="1" applyAlignment="1">
      <alignment horizontal="center"/>
    </xf>
    <xf numFmtId="14" fontId="11" fillId="0" borderId="0" xfId="0" applyNumberFormat="1" applyFont="1" applyAlignment="1">
      <alignment horizontal="center"/>
    </xf>
    <xf numFmtId="1" fontId="1" fillId="7" borderId="0" xfId="0" applyNumberFormat="1" applyFont="1" applyFill="1"/>
    <xf numFmtId="1" fontId="0" fillId="7" borderId="0" xfId="0" applyNumberFormat="1" applyFill="1"/>
    <xf numFmtId="1" fontId="1" fillId="0" borderId="0" xfId="2" applyNumberFormat="1" applyFont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8" borderId="0" xfId="0" applyNumberFormat="1" applyFont="1" applyFill="1"/>
    <xf numFmtId="0" fontId="2" fillId="8" borderId="0" xfId="0" applyFont="1" applyFill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left"/>
    </xf>
    <xf numFmtId="166" fontId="2" fillId="8" borderId="0" xfId="0" applyNumberFormat="1" applyFont="1" applyFill="1"/>
    <xf numFmtId="165" fontId="2" fillId="8" borderId="0" xfId="0" applyNumberFormat="1" applyFont="1" applyFill="1"/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left"/>
    </xf>
    <xf numFmtId="1" fontId="10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7" fillId="3" borderId="0" xfId="2" applyFill="1" applyAlignment="1" applyProtection="1">
      <alignment horizontal="left"/>
    </xf>
    <xf numFmtId="0" fontId="2" fillId="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" fillId="8" borderId="0" xfId="0" applyFont="1" applyFill="1"/>
    <xf numFmtId="0" fontId="0" fillId="0" borderId="0" xfId="0" applyAlignment="1">
      <alignment vertical="top"/>
    </xf>
    <xf numFmtId="0" fontId="0" fillId="0" borderId="0" xfId="0" quotePrefix="1"/>
    <xf numFmtId="0" fontId="3" fillId="3" borderId="0" xfId="0" applyFont="1" applyFill="1"/>
    <xf numFmtId="1" fontId="0" fillId="10" borderId="0" xfId="0" applyNumberForma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lef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3" fillId="0" borderId="0" xfId="0" applyNumberFormat="1" applyFont="1"/>
    <xf numFmtId="1" fontId="3" fillId="3" borderId="0" xfId="0" applyNumberFormat="1" applyFont="1" applyFill="1" applyAlignment="1">
      <alignment horizontal="left"/>
    </xf>
    <xf numFmtId="1" fontId="3" fillId="6" borderId="0" xfId="0" applyNumberFormat="1" applyFont="1" applyFill="1" applyAlignment="1">
      <alignment horizontal="left"/>
    </xf>
    <xf numFmtId="0" fontId="9" fillId="0" borderId="20" xfId="0" applyFont="1" applyBorder="1" applyAlignment="1">
      <alignment vertical="top" wrapText="1"/>
    </xf>
    <xf numFmtId="0" fontId="14" fillId="12" borderId="19" xfId="4" applyFill="1" applyAlignment="1">
      <alignment horizontal="center" vertical="center"/>
    </xf>
    <xf numFmtId="0" fontId="14" fillId="12" borderId="19" xfId="4" applyFill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" fontId="12" fillId="0" borderId="0" xfId="3" applyNumberFormat="1" applyFill="1" applyBorder="1"/>
    <xf numFmtId="49" fontId="2" fillId="2" borderId="0" xfId="0" applyNumberFormat="1" applyFont="1" applyFill="1"/>
    <xf numFmtId="49" fontId="0" fillId="0" borderId="0" xfId="0" applyNumberFormat="1" applyAlignment="1">
      <alignment horizontal="center"/>
    </xf>
    <xf numFmtId="2" fontId="0" fillId="0" borderId="0" xfId="0" applyNumberFormat="1"/>
    <xf numFmtId="2" fontId="2" fillId="2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1" fillId="0" borderId="0" xfId="2" applyNumberFormat="1" applyFont="1" applyAlignment="1" applyProtection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21" xfId="0" applyNumberForma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167" fontId="0" fillId="15" borderId="5" xfId="0" applyNumberFormat="1" applyFill="1" applyBorder="1" applyAlignment="1">
      <alignment horizontal="center" vertical="center"/>
    </xf>
    <xf numFmtId="167" fontId="0" fillId="15" borderId="7" xfId="0" applyNumberFormat="1" applyFill="1" applyBorder="1" applyAlignment="1">
      <alignment horizontal="center" vertical="center"/>
    </xf>
    <xf numFmtId="168" fontId="0" fillId="15" borderId="7" xfId="1" applyNumberFormat="1" applyFont="1" applyFill="1" applyBorder="1" applyAlignment="1">
      <alignment horizontal="center" vertical="center"/>
    </xf>
    <xf numFmtId="169" fontId="0" fillId="15" borderId="7" xfId="0" applyNumberFormat="1" applyFill="1" applyBorder="1" applyAlignment="1">
      <alignment horizontal="center" vertical="center"/>
    </xf>
    <xf numFmtId="169" fontId="0" fillId="15" borderId="9" xfId="0" applyNumberFormat="1" applyFill="1" applyBorder="1" applyAlignment="1">
      <alignment horizontal="center" vertical="center"/>
    </xf>
    <xf numFmtId="167" fontId="0" fillId="15" borderId="4" xfId="0" applyNumberFormat="1" applyFill="1" applyBorder="1" applyAlignment="1">
      <alignment horizontal="center" vertical="top"/>
    </xf>
    <xf numFmtId="167" fontId="0" fillId="15" borderId="6" xfId="0" applyNumberFormat="1" applyFill="1" applyBorder="1" applyAlignment="1">
      <alignment horizontal="center" vertical="top"/>
    </xf>
    <xf numFmtId="167" fontId="0" fillId="15" borderId="8" xfId="0" applyNumberFormat="1" applyFill="1" applyBorder="1" applyAlignment="1">
      <alignment horizontal="center" vertical="top"/>
    </xf>
    <xf numFmtId="0" fontId="19" fillId="7" borderId="30" xfId="0" applyFont="1" applyFill="1" applyBorder="1" applyAlignment="1">
      <alignment horizontal="right" vertical="center"/>
    </xf>
    <xf numFmtId="0" fontId="18" fillId="9" borderId="3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16" borderId="10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16" fillId="16" borderId="13" xfId="0" applyFont="1" applyFill="1" applyBorder="1" applyAlignment="1">
      <alignment horizontal="right" vertical="center"/>
    </xf>
    <xf numFmtId="0" fontId="17" fillId="16" borderId="14" xfId="2" applyFont="1" applyFill="1" applyBorder="1" applyAlignment="1" applyProtection="1">
      <alignment horizontal="left" vertical="center"/>
    </xf>
    <xf numFmtId="0" fontId="16" fillId="16" borderId="11" xfId="0" applyFont="1" applyFill="1" applyBorder="1" applyAlignment="1">
      <alignment horizontal="right" vertical="center"/>
    </xf>
    <xf numFmtId="0" fontId="17" fillId="16" borderId="15" xfId="2" applyFont="1" applyFill="1" applyBorder="1" applyAlignment="1" applyProtection="1">
      <alignment horizontal="left" vertical="center"/>
    </xf>
    <xf numFmtId="0" fontId="19" fillId="7" borderId="28" xfId="0" applyFont="1" applyFill="1" applyBorder="1" applyAlignment="1">
      <alignment horizontal="center" vertical="center" wrapText="1"/>
    </xf>
    <xf numFmtId="0" fontId="3" fillId="7" borderId="29" xfId="0" applyFont="1" applyFill="1" applyBorder="1"/>
    <xf numFmtId="0" fontId="20" fillId="8" borderId="32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/>
    </xf>
    <xf numFmtId="1" fontId="3" fillId="13" borderId="2" xfId="0" applyNumberFormat="1" applyFont="1" applyFill="1" applyBorder="1" applyAlignment="1">
      <alignment horizontal="center" vertical="center"/>
    </xf>
    <xf numFmtId="0" fontId="0" fillId="13" borderId="21" xfId="0" applyFill="1" applyBorder="1"/>
    <xf numFmtId="0" fontId="3" fillId="14" borderId="2" xfId="0" applyFont="1" applyFill="1" applyBorder="1" applyAlignment="1">
      <alignment horizontal="center"/>
    </xf>
    <xf numFmtId="0" fontId="0" fillId="14" borderId="21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4" xfId="0" applyBorder="1"/>
    <xf numFmtId="0" fontId="0" fillId="0" borderId="10" xfId="0" applyBorder="1"/>
    <xf numFmtId="0" fontId="0" fillId="0" borderId="0" xfId="0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3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26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</cellXfs>
  <cellStyles count="5">
    <cellStyle name="Comma" xfId="1" builtinId="3"/>
    <cellStyle name="Heading 1" xfId="4" builtinId="16"/>
    <cellStyle name="Hyperlink" xfId="2" builtinId="8"/>
    <cellStyle name="Input" xfId="3" builtinId="20"/>
    <cellStyle name="Normal" xfId="0" builtinId="0"/>
  </cellStyles>
  <dxfs count="55"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border outline="0"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dep1\WRM\Mines\TLHBOMRRES7\DATA\GIS\Projects\ArcPro\Development\Oil_Gas\OilGasDBConversion\Scripts\TestFolder\O%20G%20WELLS%20MASTER%20NEXUS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Information"/>
      <sheetName val="WELLS"/>
      <sheetName val="TOTALS"/>
      <sheetName val="LEGEND"/>
      <sheetName val="Heading definition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563D81-8B73-4CBD-BEB5-21A97B2CE567}" name="Table1" displayName="Table1" ref="A1:B68" totalsRowShown="0" headerRowBorderDxfId="54" tableBorderDxfId="53" totalsRowBorderDxfId="52">
  <autoFilter ref="A1:B68" xr:uid="{86563D81-8B73-4CBD-BEB5-21A97B2CE567}"/>
  <tableColumns count="2">
    <tableColumn id="1" xr3:uid="{82D0B781-E80E-4A6A-B06F-63550EAAF713}" name="COUNTY" dataDxfId="51"/>
    <tableColumn id="2" xr3:uid="{B200A5C8-9B15-4D84-9653-B3A80632DDBD}" name="Number of Applications" dataDxfId="50">
      <calculatedColumnFormula>COUNTIF(WELLS!F:F,TOTALS!A2)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FB4700-147D-4127-85B5-B3413D6DFEE0}" name="Table2" displayName="Table2" ref="D1:E24" totalsRowShown="0" headerRowBorderDxfId="49" tableBorderDxfId="48" totalsRowBorderDxfId="47">
  <autoFilter ref="D1:E24" xr:uid="{EEFB4700-147D-4127-85B5-B3413D6DFEE0}"/>
  <tableColumns count="2">
    <tableColumn id="1" xr3:uid="{2B9B7020-BEA1-46BC-86AB-933ECA09C963}" name="OILFIELD" dataDxfId="46"/>
    <tableColumn id="2" xr3:uid="{F543DF70-D350-4552-ACA9-98356C0A99B3}" name="Number of Applications" dataDxfId="45">
      <calculatedColumnFormula>COUNTIF(WELLS!G:G,TOTALS!D2)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1F6C79-96D6-4E00-817A-70E3AABCBB48}" name="Table4" displayName="Table4" ref="G1:H9" totalsRowShown="0" headerRowBorderDxfId="44" tableBorderDxfId="43" totalsRowBorderDxfId="42">
  <autoFilter ref="G1:H9" xr:uid="{8E1F6C79-96D6-4E00-817A-70E3AABCBB48}"/>
  <tableColumns count="2">
    <tableColumn id="1" xr3:uid="{0539D4D0-5E51-40A7-8CBC-35AAD31E8380}" name="CURRENT STATUS" dataDxfId="41"/>
    <tableColumn id="2" xr3:uid="{A55C408F-44E2-43F8-8775-09A7AF2285B6}" name="Number of Permits" dataDxfId="40">
      <calculatedColumnFormula>COUNTIF(WELLS!J:J,TOTALS!G2)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F09BBB0-97CF-4829-9A93-8FF96D910CBF}" name="Table9" displayName="Table9" ref="G16:H20" totalsRowShown="0" headerRowBorderDxfId="39" tableBorderDxfId="38" totalsRowBorderDxfId="37">
  <autoFilter ref="G16:H20" xr:uid="{1F09BBB0-97CF-4829-9A93-8FF96D910CBF}"/>
  <tableColumns count="2">
    <tableColumn id="1" xr3:uid="{90404CB4-B89D-4F00-85C9-4856D5EC076D}" name="Status" dataDxfId="36"/>
    <tableColumn id="2" xr3:uid="{A133E526-6D2F-49AA-9F60-0BE37DB92E27}" name="Numbers" dataDxfId="3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B8FB64-C6DF-4468-9023-3B12D2A3196A}" name="Table3" displayName="Table3" ref="I1:J4" totalsRowShown="0" tableBorderDxfId="34">
  <autoFilter ref="I1:J4" xr:uid="{BFB8FB64-C6DF-4468-9023-3B12D2A3196A}"/>
  <tableColumns count="2">
    <tableColumn id="1" xr3:uid="{2D2232E1-9CB3-419F-A0B6-6257C33B914F}" name="Wells Status"/>
    <tableColumn id="2" xr3:uid="{646D433F-E138-4B99-9D65-1B8F5CEE99FD}" name="Total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Zeros="0" zoomScale="106" zoomScaleNormal="106" workbookViewId="0">
      <selection activeCell="A2" sqref="A2:D2"/>
    </sheetView>
  </sheetViews>
  <sheetFormatPr defaultRowHeight="12.75" x14ac:dyDescent="0.2"/>
  <cols>
    <col min="1" max="1" width="28.5703125" customWidth="1"/>
    <col min="2" max="2" width="39.28515625" customWidth="1"/>
    <col min="3" max="3" width="30.7109375" customWidth="1"/>
    <col min="4" max="4" width="63.7109375" customWidth="1"/>
  </cols>
  <sheetData>
    <row r="1" spans="1:4" ht="47.25" customHeight="1" x14ac:dyDescent="0.2">
      <c r="A1" s="112" t="s">
        <v>17050</v>
      </c>
      <c r="B1" s="113">
        <v>583</v>
      </c>
      <c r="C1" s="124" t="s">
        <v>0</v>
      </c>
      <c r="D1" s="125"/>
    </row>
    <row r="2" spans="1:4" ht="47.25" customHeight="1" thickBot="1" x14ac:dyDescent="0.25">
      <c r="A2" s="126" t="s">
        <v>17051</v>
      </c>
      <c r="B2" s="127"/>
      <c r="C2" s="127"/>
      <c r="D2" s="128"/>
    </row>
    <row r="3" spans="1:4" x14ac:dyDescent="0.2">
      <c r="A3" s="54" t="s">
        <v>1</v>
      </c>
      <c r="B3" s="109" t="str">
        <f>INDEX(WELLS!C:C,MATCH('Facility Information'!$B$1,WELLS!$B:$B,0))</f>
        <v>OG_583</v>
      </c>
      <c r="C3" s="54" t="s">
        <v>2</v>
      </c>
      <c r="D3" s="104" t="str">
        <f>INDEX(WELLS!J:J,MATCH('Facility Information'!$B$1,WELLS!$B:$B,0))</f>
        <v>PROD/P&amp;A</v>
      </c>
    </row>
    <row r="4" spans="1:4" x14ac:dyDescent="0.2">
      <c r="A4" s="55" t="s">
        <v>3</v>
      </c>
      <c r="B4" s="110" t="str">
        <f>INDEX(WELLS!AU:AU,MATCH('Facility Information'!$B$1,WELLS!$B:$B,0))</f>
        <v>0911320074</v>
      </c>
      <c r="C4" s="55" t="s">
        <v>4</v>
      </c>
      <c r="D4" s="105" t="str">
        <f>INDEX(WELLS!K:K,MATCH('Facility Information'!$B$1,WELLS!$B:$B,0))</f>
        <v>PRODUCER</v>
      </c>
    </row>
    <row r="5" spans="1:4" x14ac:dyDescent="0.2">
      <c r="A5" s="55" t="s">
        <v>5</v>
      </c>
      <c r="B5" s="110">
        <f>INDEX(WELLS!AW:AW,MATCH('Facility Information'!$B$1,WELLS!$B:$B,0))</f>
        <v>303044</v>
      </c>
      <c r="C5" s="55" t="s">
        <v>6</v>
      </c>
      <c r="D5" s="106">
        <f>INDEX(WELLS!AD:AD,MATCH('Facility Information'!$B$1,WELLS!$B:$B,0))</f>
        <v>16204</v>
      </c>
    </row>
    <row r="6" spans="1:4" x14ac:dyDescent="0.2">
      <c r="A6" s="55" t="s">
        <v>7</v>
      </c>
      <c r="B6" s="110" t="str">
        <f>INDEX(WELLS!I:I,MATCH('Facility Information'!$B$1,WELLS!$B:$B,0))</f>
        <v>SRPC #14-1</v>
      </c>
      <c r="C6" s="55" t="s">
        <v>8</v>
      </c>
      <c r="D6" s="106">
        <f>INDEX(WELLS!AE:AE,MATCH('Facility Information'!$B$1,WELLS!$B:$B,0))</f>
        <v>16204</v>
      </c>
    </row>
    <row r="7" spans="1:4" x14ac:dyDescent="0.2">
      <c r="A7" s="55" t="s">
        <v>9</v>
      </c>
      <c r="B7" s="110" t="str">
        <f>INDEX(WELLS!H:H,MATCH('Facility Information'!$B$1,WELLS!$B:$B,0))</f>
        <v>PETRO OPERATING COMPANY</v>
      </c>
      <c r="C7" s="55" t="s">
        <v>10</v>
      </c>
      <c r="D7" s="105" t="str">
        <f>INDEX(WELLS!AF:AF,MATCH('Facility Information'!$B$1,WELLS!$B:$B,0))</f>
        <v>20"@ 100'</v>
      </c>
    </row>
    <row r="8" spans="1:4" x14ac:dyDescent="0.2">
      <c r="A8" s="55" t="s">
        <v>11</v>
      </c>
      <c r="B8" s="110" t="str">
        <f>INDEX(WELLS!G:G,MATCH('Facility Information'!$B$1,WELLS!$B:$B,0))</f>
        <v>BLACKJACK CREEK</v>
      </c>
      <c r="C8" s="55" t="s">
        <v>12</v>
      </c>
      <c r="D8" s="105" t="str">
        <f>INDEX(WELLS!AG:AG,MATCH('Facility Information'!$B$1,WELLS!$B:$B,0))</f>
        <v>10-3/4"@ 3923'</v>
      </c>
    </row>
    <row r="9" spans="1:4" x14ac:dyDescent="0.2">
      <c r="A9" s="55" t="s">
        <v>13</v>
      </c>
      <c r="B9" s="110" t="str">
        <f>INDEX(WELLS!F:F,MATCH('Facility Information'!$B$1,WELLS!$B:$B,0))</f>
        <v>SANTA ROSA</v>
      </c>
      <c r="C9" s="55" t="s">
        <v>14</v>
      </c>
      <c r="D9" s="105" t="str">
        <f>INDEX(WELLS!AH:AH,MATCH('Facility Information'!$B$1,WELLS!$B:$B,0))</f>
        <v>NA</v>
      </c>
    </row>
    <row r="10" spans="1:4" x14ac:dyDescent="0.2">
      <c r="A10" s="55" t="s">
        <v>15</v>
      </c>
      <c r="B10" s="110" t="str">
        <f>INDEX(WELLS!Q:Q,MATCH('Facility Information'!$B$1,WELLS!$B:$B,0))</f>
        <v>1S14 4N 29W</v>
      </c>
      <c r="C10" s="55" t="s">
        <v>16</v>
      </c>
      <c r="D10" s="105" t="str">
        <f>INDEX(WELLS!AI:AI,MATCH('Facility Information'!$B$1,WELLS!$B:$B,0))</f>
        <v>7"@ 16200</v>
      </c>
    </row>
    <row r="11" spans="1:4" x14ac:dyDescent="0.2">
      <c r="A11" s="55" t="s">
        <v>17</v>
      </c>
      <c r="B11" s="110" t="str">
        <f>INDEX(WELLS!V:V,MATCH('Facility Information'!$B$1,WELLS!$B:$B,0))</f>
        <v>1600'FNL&amp;1290'FEL</v>
      </c>
      <c r="C11" s="55" t="s">
        <v>18</v>
      </c>
      <c r="D11" s="105" t="str">
        <f>INDEX(WELLS!AJ:AJ,MATCH('Facility Information'!$B$1,WELLS!$B:$B,0))</f>
        <v>3-1/2"@ 15590'</v>
      </c>
    </row>
    <row r="12" spans="1:4" x14ac:dyDescent="0.2">
      <c r="A12" s="55" t="s">
        <v>19</v>
      </c>
      <c r="B12" s="110" t="str">
        <f>INDEX(WELLS!W:W,MATCH('Facility Information'!$B$1,WELLS!$B:$B,0))</f>
        <v>SAME</v>
      </c>
      <c r="C12" s="55" t="s">
        <v>20</v>
      </c>
      <c r="D12" s="105" t="str">
        <f>INDEX(WELLS!AR:AR,MATCH('Facility Information'!$B$1,WELLS!$B:$B,0))</f>
        <v>15742-15826</v>
      </c>
    </row>
    <row r="13" spans="1:4" x14ac:dyDescent="0.2">
      <c r="A13" s="55" t="s">
        <v>21</v>
      </c>
      <c r="B13" s="110">
        <f>INDEX(WELLS!R:R,MATCH('Facility Information'!$B$1,WELLS!$B:$B,0))</f>
        <v>30.860828000000001</v>
      </c>
      <c r="C13" s="55" t="s">
        <v>22</v>
      </c>
      <c r="D13" s="105" t="str">
        <f>INDEX(WELLS!AS:AS,MATCH('Facility Information'!$B$1,WELLS!$B:$B,0))</f>
        <v>0-100, 1120-1648, 3236-4226, 5645-6329, 15392-15850</v>
      </c>
    </row>
    <row r="14" spans="1:4" ht="13.5" customHeight="1" thickBot="1" x14ac:dyDescent="0.25">
      <c r="A14" s="56" t="s">
        <v>23</v>
      </c>
      <c r="B14" s="111">
        <f>INDEX(WELLS!S:S,MATCH('Facility Information'!$B$1,WELLS!$B:$B,0))</f>
        <v>-87.111384000000001</v>
      </c>
      <c r="C14" s="55" t="s">
        <v>24</v>
      </c>
      <c r="D14" s="107">
        <f>INDEX(WELLS!Z:Z,MATCH('Facility Information'!$B$1,WELLS!$B:$B,0))</f>
        <v>26407</v>
      </c>
    </row>
    <row r="15" spans="1:4" x14ac:dyDescent="0.2">
      <c r="A15" s="116"/>
      <c r="B15" s="117"/>
      <c r="C15" s="55" t="s">
        <v>25</v>
      </c>
      <c r="D15" s="107">
        <f>INDEX(WELLS!AA:AA,MATCH('Facility Information'!$B$1,WELLS!$B:$B,0))</f>
        <v>26478</v>
      </c>
    </row>
    <row r="16" spans="1:4" x14ac:dyDescent="0.2">
      <c r="A16" s="116"/>
      <c r="B16" s="117"/>
      <c r="C16" s="55" t="s">
        <v>26</v>
      </c>
      <c r="D16" s="107">
        <f>INDEX(WELLS!AB:AB,MATCH('Facility Information'!$B$1,WELLS!$B:$B,0))</f>
        <v>27254</v>
      </c>
    </row>
    <row r="17" spans="1:4" ht="13.5" customHeight="1" thickBot="1" x14ac:dyDescent="0.25">
      <c r="A17" s="118"/>
      <c r="B17" s="119"/>
      <c r="C17" s="56" t="s">
        <v>27</v>
      </c>
      <c r="D17" s="108">
        <f>INDEX(WELLS!AC:AC,MATCH('Facility Information'!$B$1,WELLS!$B:$B,0))</f>
        <v>45948</v>
      </c>
    </row>
    <row r="18" spans="1:4" s="80" customFormat="1" ht="27" customHeight="1" x14ac:dyDescent="0.2">
      <c r="B18" s="120" t="s">
        <v>28</v>
      </c>
      <c r="C18" s="121" t="str">
        <f>HYPERLINK("https://ca.dep.state.fl.us/mapdirect/?focus=oilandgas&amp;zoom=query&amp;querytype=oilandgas&amp;queryvalues="&amp;$B$3,"MapDirect")</f>
        <v>MapDirect</v>
      </c>
    </row>
    <row r="19" spans="1:4" s="80" customFormat="1" ht="27" customHeight="1" thickBot="1" x14ac:dyDescent="0.25">
      <c r="B19" s="122" t="s">
        <v>29</v>
      </c>
      <c r="C19" s="123" t="str">
        <f>HYPERLINK("http://prodenv.dep.state.fl.us/DepNexus/public/electronic-documents/"&amp;$B$3&amp;"/facility!search", "Information Portal")</f>
        <v>Information Portal</v>
      </c>
    </row>
  </sheetData>
  <mergeCells count="2">
    <mergeCell ref="C1:D1"/>
    <mergeCell ref="A2:D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Y1488"/>
  <sheetViews>
    <sheetView showGridLines="0" zoomScale="110" zoomScaleNormal="110" workbookViewId="0">
      <pane xSplit="2" ySplit="1" topLeftCell="K1214" activePane="bottomRight" state="frozen"/>
      <selection pane="topRight" activeCell="C1" sqref="C1"/>
      <selection pane="bottomLeft" activeCell="A2" sqref="A2"/>
      <selection pane="bottomRight" activeCell="M1231" sqref="M1231:M1232"/>
    </sheetView>
  </sheetViews>
  <sheetFormatPr defaultRowHeight="12.75" x14ac:dyDescent="0.2"/>
  <cols>
    <col min="1" max="1" width="16.140625" customWidth="1"/>
    <col min="2" max="2" width="9.140625" customWidth="1"/>
    <col min="3" max="3" width="16.5703125" bestFit="1" customWidth="1"/>
    <col min="4" max="4" width="16.5703125" customWidth="1"/>
    <col min="5" max="5" width="13.85546875" customWidth="1"/>
    <col min="6" max="6" width="16.85546875" customWidth="1"/>
    <col min="7" max="7" width="17.5703125" customWidth="1"/>
    <col min="8" max="8" width="32.28515625" customWidth="1"/>
    <col min="9" max="9" width="27" customWidth="1"/>
    <col min="10" max="10" width="24.140625" bestFit="1" customWidth="1"/>
    <col min="11" max="11" width="18.140625" customWidth="1"/>
    <col min="12" max="12" width="10.140625" customWidth="1"/>
    <col min="13" max="13" width="9.140625" customWidth="1"/>
    <col min="14" max="14" width="12.85546875" customWidth="1"/>
    <col min="15" max="15" width="11.140625" customWidth="1"/>
    <col min="16" max="16" width="14.7109375" customWidth="1"/>
    <col min="17" max="17" width="16.28515625" customWidth="1"/>
    <col min="18" max="18" width="9.5703125" customWidth="1"/>
    <col min="19" max="19" width="12.140625" customWidth="1"/>
    <col min="20" max="20" width="11.5703125" customWidth="1"/>
    <col min="21" max="21" width="12.85546875" customWidth="1"/>
    <col min="22" max="22" width="25.140625" customWidth="1"/>
    <col min="23" max="23" width="19.7109375" customWidth="1"/>
    <col min="24" max="24" width="10.140625" style="84" customWidth="1"/>
    <col min="25" max="25" width="10.28515625" style="84" customWidth="1"/>
    <col min="26" max="26" width="17.140625" bestFit="1" customWidth="1"/>
    <col min="27" max="27" width="16.5703125" customWidth="1"/>
    <col min="28" max="28" width="14.5703125" customWidth="1"/>
    <col min="29" max="29" width="12.42578125" customWidth="1"/>
    <col min="30" max="30" width="10" style="84" customWidth="1"/>
    <col min="31" max="31" width="9.7109375" style="84" customWidth="1"/>
    <col min="32" max="32" width="18.140625" style="84" customWidth="1"/>
    <col min="33" max="33" width="14.85546875" customWidth="1"/>
    <col min="34" max="34" width="17.140625" customWidth="1"/>
    <col min="35" max="35" width="15.85546875" style="84" customWidth="1"/>
    <col min="36" max="36" width="28.28515625" customWidth="1"/>
    <col min="37" max="37" width="16.28515625" customWidth="1"/>
    <col min="38" max="38" width="24.28515625" customWidth="1"/>
    <col min="39" max="39" width="11.5703125" customWidth="1"/>
    <col min="40" max="40" width="18.5703125" customWidth="1"/>
    <col min="41" max="41" width="16" customWidth="1"/>
    <col min="42" max="42" width="12.85546875" customWidth="1"/>
    <col min="43" max="43" width="14.5703125" customWidth="1"/>
    <col min="44" max="44" width="25" customWidth="1"/>
    <col min="45" max="45" width="21" customWidth="1"/>
    <col min="46" max="46" width="17.7109375" customWidth="1"/>
    <col min="47" max="47" width="15.5703125" style="30" customWidth="1"/>
    <col min="48" max="48" width="16.5703125" customWidth="1"/>
    <col min="49" max="49" width="7.7109375" style="1" customWidth="1"/>
    <col min="50" max="50" width="27" customWidth="1"/>
    <col min="51" max="51" width="22.140625" customWidth="1"/>
  </cols>
  <sheetData>
    <row r="1" spans="1:51" s="4" customFormat="1" x14ac:dyDescent="0.2">
      <c r="A1" s="2" t="s">
        <v>30</v>
      </c>
      <c r="B1" s="10" t="s">
        <v>31</v>
      </c>
      <c r="C1" s="10" t="s">
        <v>32</v>
      </c>
      <c r="D1" s="10" t="s">
        <v>33</v>
      </c>
      <c r="E1" s="10" t="s">
        <v>34</v>
      </c>
      <c r="F1" s="3" t="s">
        <v>35</v>
      </c>
      <c r="G1" s="3" t="s">
        <v>36</v>
      </c>
      <c r="H1" s="3" t="s">
        <v>37</v>
      </c>
      <c r="I1" s="3" t="s">
        <v>38</v>
      </c>
      <c r="J1" s="18" t="s">
        <v>39</v>
      </c>
      <c r="K1" s="18" t="s">
        <v>40</v>
      </c>
      <c r="L1" s="16" t="s">
        <v>41</v>
      </c>
      <c r="M1" s="18" t="s">
        <v>42</v>
      </c>
      <c r="N1" s="16" t="s">
        <v>43</v>
      </c>
      <c r="O1" s="18" t="s">
        <v>44</v>
      </c>
      <c r="P1" s="18" t="s">
        <v>45</v>
      </c>
      <c r="Q1" s="18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8" t="s">
        <v>17</v>
      </c>
      <c r="W1" s="18" t="s">
        <v>19</v>
      </c>
      <c r="X1" s="69" t="s">
        <v>51</v>
      </c>
      <c r="Y1" s="69" t="s">
        <v>52</v>
      </c>
      <c r="Z1" s="65" t="s">
        <v>53</v>
      </c>
      <c r="AA1" s="65" t="s">
        <v>54</v>
      </c>
      <c r="AB1" s="66" t="s">
        <v>55</v>
      </c>
      <c r="AC1" s="65" t="s">
        <v>56</v>
      </c>
      <c r="AD1" s="85" t="s">
        <v>6</v>
      </c>
      <c r="AE1" s="85" t="s">
        <v>8</v>
      </c>
      <c r="AF1" s="85" t="s">
        <v>57</v>
      </c>
      <c r="AG1" s="18" t="s">
        <v>58</v>
      </c>
      <c r="AH1" s="18" t="s">
        <v>59</v>
      </c>
      <c r="AI1" s="85" t="s">
        <v>60</v>
      </c>
      <c r="AJ1" s="18" t="s">
        <v>61</v>
      </c>
      <c r="AK1" s="18" t="s">
        <v>62</v>
      </c>
      <c r="AL1" s="18" t="s">
        <v>63</v>
      </c>
      <c r="AM1" s="18" t="s">
        <v>64</v>
      </c>
      <c r="AN1" s="18" t="s">
        <v>65</v>
      </c>
      <c r="AO1" s="18" t="s">
        <v>66</v>
      </c>
      <c r="AP1" s="18" t="s">
        <v>67</v>
      </c>
      <c r="AQ1" s="18" t="s">
        <v>68</v>
      </c>
      <c r="AR1" s="18" t="s">
        <v>69</v>
      </c>
      <c r="AS1" s="18" t="s">
        <v>70</v>
      </c>
      <c r="AT1" s="18" t="s">
        <v>71</v>
      </c>
      <c r="AU1" s="82" t="s">
        <v>72</v>
      </c>
      <c r="AV1" s="22" t="s">
        <v>73</v>
      </c>
      <c r="AW1" s="16" t="s">
        <v>74</v>
      </c>
      <c r="AX1" s="18" t="s">
        <v>75</v>
      </c>
      <c r="AY1" s="18" t="s">
        <v>76</v>
      </c>
    </row>
    <row r="2" spans="1:51" ht="12.75" customHeight="1" x14ac:dyDescent="0.25">
      <c r="A2" s="5">
        <v>1</v>
      </c>
      <c r="B2" s="9">
        <v>1</v>
      </c>
      <c r="C2" s="9" t="s">
        <v>77</v>
      </c>
      <c r="D2" s="57" t="str">
        <f>HYPERLINK("http://prodenv.dep.state.fl.us/DepNexus/public/electronic-documents/OG_1/facility!search","OG_1_Docs")</f>
        <v>OG_1_Docs</v>
      </c>
      <c r="E2" s="57" t="str">
        <f>HYPERLINK("https://ca.dep.state.fl.us/mapdirect/?focus=oilandgas&amp;zoom=query&amp;querytype=oilandgas&amp;queryvalues=OG_1","OG_1_Map")</f>
        <v>OG_1_Map</v>
      </c>
      <c r="F2" s="1" t="s">
        <v>78</v>
      </c>
      <c r="G2" s="1" t="s">
        <v>79</v>
      </c>
      <c r="H2" s="1" t="s">
        <v>80</v>
      </c>
      <c r="I2" s="1" t="s">
        <v>81</v>
      </c>
      <c r="J2" s="17" t="s">
        <v>82</v>
      </c>
      <c r="K2" s="17" t="s">
        <v>83</v>
      </c>
      <c r="L2" s="17"/>
      <c r="M2" s="17" t="s">
        <v>84</v>
      </c>
      <c r="N2" s="52" t="s">
        <v>85</v>
      </c>
      <c r="O2" s="17" t="s">
        <v>86</v>
      </c>
      <c r="P2" s="17" t="s">
        <v>86</v>
      </c>
      <c r="Q2" s="81" t="s">
        <v>87</v>
      </c>
      <c r="R2" s="11">
        <v>28.476054000000001</v>
      </c>
      <c r="S2" s="11">
        <v>-82.549237000000005</v>
      </c>
      <c r="T2" s="11" t="s">
        <v>88</v>
      </c>
      <c r="U2" s="11" t="s">
        <v>89</v>
      </c>
      <c r="V2" s="17" t="s">
        <v>90</v>
      </c>
      <c r="W2" s="17"/>
      <c r="X2" s="70">
        <v>47</v>
      </c>
      <c r="Y2" s="70">
        <v>35</v>
      </c>
      <c r="Z2" s="13">
        <v>16733</v>
      </c>
      <c r="AA2" s="13">
        <v>16787</v>
      </c>
      <c r="AB2" s="13">
        <v>16976</v>
      </c>
      <c r="AC2" s="13">
        <v>16978</v>
      </c>
      <c r="AD2" s="86">
        <v>8472</v>
      </c>
      <c r="AE2" s="86">
        <v>8472</v>
      </c>
      <c r="AF2" s="70" t="s">
        <v>91</v>
      </c>
      <c r="AG2" s="17" t="s">
        <v>92</v>
      </c>
      <c r="AH2" s="17" t="s">
        <v>93</v>
      </c>
      <c r="AI2" s="70" t="s">
        <v>94</v>
      </c>
      <c r="AJ2" s="17" t="s">
        <v>94</v>
      </c>
      <c r="AK2" s="17" t="s">
        <v>95</v>
      </c>
      <c r="AL2" s="17" t="s">
        <v>96</v>
      </c>
      <c r="AM2" s="17" t="s">
        <v>94</v>
      </c>
      <c r="AN2" s="17" t="s">
        <v>97</v>
      </c>
      <c r="AO2" s="17" t="s">
        <v>98</v>
      </c>
      <c r="AP2" s="17" t="s">
        <v>98</v>
      </c>
      <c r="AQ2" s="17" t="s">
        <v>98</v>
      </c>
      <c r="AR2" s="17" t="s">
        <v>94</v>
      </c>
      <c r="AS2" s="17" t="s">
        <v>99</v>
      </c>
      <c r="AT2" s="17"/>
      <c r="AU2" s="30" t="s">
        <v>100</v>
      </c>
      <c r="AV2" s="14">
        <v>994</v>
      </c>
      <c r="AW2" s="74"/>
      <c r="AX2" s="1"/>
      <c r="AY2" s="17" t="s">
        <v>101</v>
      </c>
    </row>
    <row r="3" spans="1:51" ht="12.75" customHeight="1" x14ac:dyDescent="0.25">
      <c r="A3" s="5">
        <v>2</v>
      </c>
      <c r="B3" s="9">
        <v>2</v>
      </c>
      <c r="C3" s="9" t="s">
        <v>102</v>
      </c>
      <c r="D3" s="57" t="str">
        <f>HYPERLINK("http://prodenv.dep.state.fl.us/DepNexus/public/electronic-documents/OG_2/facility!search","OG_2_Docs")</f>
        <v>OG_2_Docs</v>
      </c>
      <c r="E3" s="57" t="str">
        <f>HYPERLINK("https://ca.dep.state.fl.us/mapdirect/?focus=oilandgas&amp;zoom=query&amp;querytype=oilandgas&amp;queryvalues=OG_2","OG_2_Map")</f>
        <v>OG_2_Map</v>
      </c>
      <c r="F3" s="1" t="s">
        <v>103</v>
      </c>
      <c r="G3" s="1" t="s">
        <v>79</v>
      </c>
      <c r="H3" s="1" t="s">
        <v>104</v>
      </c>
      <c r="I3" s="1" t="s">
        <v>105</v>
      </c>
      <c r="J3" s="17" t="s">
        <v>82</v>
      </c>
      <c r="K3" s="17" t="s">
        <v>83</v>
      </c>
      <c r="L3" s="17"/>
      <c r="M3" s="17"/>
      <c r="N3" s="52" t="s">
        <v>85</v>
      </c>
      <c r="O3" s="17" t="s">
        <v>86</v>
      </c>
      <c r="P3" s="17" t="s">
        <v>86</v>
      </c>
      <c r="Q3" s="81" t="s">
        <v>106</v>
      </c>
      <c r="R3" s="11">
        <v>30.420763000000001</v>
      </c>
      <c r="S3" s="11">
        <v>-85.253353000000004</v>
      </c>
      <c r="T3" s="11" t="s">
        <v>107</v>
      </c>
      <c r="U3" s="11" t="s">
        <v>108</v>
      </c>
      <c r="V3" s="17" t="s">
        <v>109</v>
      </c>
      <c r="W3" s="17" t="s">
        <v>110</v>
      </c>
      <c r="X3" s="70">
        <v>160.1</v>
      </c>
      <c r="Y3" s="70">
        <v>146.1</v>
      </c>
      <c r="Z3" s="13">
        <v>16747</v>
      </c>
      <c r="AA3" s="13">
        <v>16750</v>
      </c>
      <c r="AB3" s="13">
        <v>16761</v>
      </c>
      <c r="AC3" s="13">
        <v>16765</v>
      </c>
      <c r="AD3" s="86">
        <v>3040</v>
      </c>
      <c r="AE3" s="86">
        <v>3040</v>
      </c>
      <c r="AF3" s="70" t="s">
        <v>111</v>
      </c>
      <c r="AG3" s="17" t="s">
        <v>112</v>
      </c>
      <c r="AH3" s="17" t="s">
        <v>113</v>
      </c>
      <c r="AI3" s="70" t="s">
        <v>94</v>
      </c>
      <c r="AJ3" s="17" t="s">
        <v>94</v>
      </c>
      <c r="AK3" s="17" t="s">
        <v>95</v>
      </c>
      <c r="AL3" s="17" t="s">
        <v>94</v>
      </c>
      <c r="AM3" s="17" t="s">
        <v>94</v>
      </c>
      <c r="AN3" s="17" t="s">
        <v>94</v>
      </c>
      <c r="AO3" s="17" t="s">
        <v>98</v>
      </c>
      <c r="AP3" s="17" t="s">
        <v>98</v>
      </c>
      <c r="AQ3" s="17" t="s">
        <v>98</v>
      </c>
      <c r="AR3" s="17" t="s">
        <v>94</v>
      </c>
      <c r="AS3" s="17" t="s">
        <v>114</v>
      </c>
      <c r="AT3" s="17"/>
      <c r="AU3" s="30" t="s">
        <v>115</v>
      </c>
      <c r="AV3" s="14">
        <v>1099</v>
      </c>
      <c r="AW3" s="74"/>
      <c r="AX3" s="1"/>
      <c r="AY3" s="17" t="s">
        <v>101</v>
      </c>
    </row>
    <row r="4" spans="1:51" ht="12.75" customHeight="1" x14ac:dyDescent="0.25">
      <c r="A4" s="5">
        <v>3</v>
      </c>
      <c r="B4" s="9">
        <v>3</v>
      </c>
      <c r="C4" s="9" t="s">
        <v>116</v>
      </c>
      <c r="D4" s="57" t="str">
        <f>HYPERLINK("http://prodenv.dep.state.fl.us/DepNexus/public/electronic-documents/OG_3/facility!search","OG_3_Docs")</f>
        <v>OG_3_Docs</v>
      </c>
      <c r="E4" s="57" t="str">
        <f>HYPERLINK("https://ca.dep.state.fl.us/mapdirect/?focus=oilandgas&amp;zoom=query&amp;querytype=oilandgas&amp;queryvalues=OG_3","OG_3_Map")</f>
        <v>OG_3_Map</v>
      </c>
      <c r="F4" s="1" t="s">
        <v>103</v>
      </c>
      <c r="G4" s="1" t="s">
        <v>79</v>
      </c>
      <c r="H4" s="1" t="s">
        <v>104</v>
      </c>
      <c r="I4" s="1" t="s">
        <v>117</v>
      </c>
      <c r="J4" s="17" t="s">
        <v>82</v>
      </c>
      <c r="K4" s="17" t="s">
        <v>83</v>
      </c>
      <c r="L4" s="17"/>
      <c r="M4" s="17"/>
      <c r="N4" s="52" t="s">
        <v>85</v>
      </c>
      <c r="O4" s="17" t="s">
        <v>86</v>
      </c>
      <c r="P4" s="17" t="s">
        <v>86</v>
      </c>
      <c r="Q4" s="81" t="s">
        <v>118</v>
      </c>
      <c r="R4" s="11">
        <v>30.457747000000001</v>
      </c>
      <c r="S4" s="11">
        <v>-85.300685999999999</v>
      </c>
      <c r="T4" s="11" t="s">
        <v>119</v>
      </c>
      <c r="U4" s="11" t="s">
        <v>120</v>
      </c>
      <c r="V4" s="17" t="s">
        <v>121</v>
      </c>
      <c r="W4" s="17" t="s">
        <v>110</v>
      </c>
      <c r="X4" s="70">
        <v>181.55</v>
      </c>
      <c r="Y4" s="70">
        <v>172.55</v>
      </c>
      <c r="Z4" s="13">
        <v>16745</v>
      </c>
      <c r="AA4" s="13">
        <v>16722</v>
      </c>
      <c r="AB4" s="13">
        <v>16735</v>
      </c>
      <c r="AC4" s="13">
        <v>16736</v>
      </c>
      <c r="AD4" s="86">
        <v>4457</v>
      </c>
      <c r="AE4" s="86">
        <v>4457</v>
      </c>
      <c r="AF4" s="70" t="s">
        <v>122</v>
      </c>
      <c r="AG4" s="17" t="s">
        <v>123</v>
      </c>
      <c r="AH4" s="17" t="s">
        <v>94</v>
      </c>
      <c r="AI4" s="70" t="s">
        <v>94</v>
      </c>
      <c r="AJ4" s="17" t="s">
        <v>94</v>
      </c>
      <c r="AK4" s="17" t="s">
        <v>95</v>
      </c>
      <c r="AL4" s="17" t="s">
        <v>94</v>
      </c>
      <c r="AM4" s="17" t="s">
        <v>94</v>
      </c>
      <c r="AN4" s="17" t="s">
        <v>94</v>
      </c>
      <c r="AO4" s="17" t="s">
        <v>98</v>
      </c>
      <c r="AP4" s="17" t="s">
        <v>98</v>
      </c>
      <c r="AQ4" s="17" t="s">
        <v>98</v>
      </c>
      <c r="AR4" s="17" t="s">
        <v>94</v>
      </c>
      <c r="AS4" s="17" t="s">
        <v>124</v>
      </c>
      <c r="AT4" s="17"/>
      <c r="AU4" s="30" t="s">
        <v>125</v>
      </c>
      <c r="AV4" s="14">
        <v>1104</v>
      </c>
      <c r="AW4" s="74"/>
      <c r="AX4" s="1"/>
      <c r="AY4" s="17" t="s">
        <v>101</v>
      </c>
    </row>
    <row r="5" spans="1:51" ht="12.75" customHeight="1" x14ac:dyDescent="0.25">
      <c r="A5" s="5">
        <v>4</v>
      </c>
      <c r="B5" s="9">
        <v>4</v>
      </c>
      <c r="C5" s="9" t="s">
        <v>126</v>
      </c>
      <c r="D5" s="57" t="str">
        <f>HYPERLINK("http://prodenv.dep.state.fl.us/DepNexus/public/electronic-documents/OG_4/facility!search","OG_4_Docs")</f>
        <v>OG_4_Docs</v>
      </c>
      <c r="E5" s="57" t="str">
        <f>HYPERLINK("https://ca.dep.state.fl.us/mapdirect/?focus=oilandgas&amp;zoom=query&amp;querytype=oilandgas&amp;queryvalues=OG_4","OG_4_Map")</f>
        <v>OG_4_Map</v>
      </c>
      <c r="F5" s="1" t="s">
        <v>127</v>
      </c>
      <c r="G5" s="1" t="s">
        <v>79</v>
      </c>
      <c r="H5" s="1" t="s">
        <v>128</v>
      </c>
      <c r="I5" s="1" t="s">
        <v>129</v>
      </c>
      <c r="J5" s="17" t="s">
        <v>82</v>
      </c>
      <c r="K5" s="17" t="s">
        <v>83</v>
      </c>
      <c r="L5" s="17"/>
      <c r="M5" s="17" t="s">
        <v>101</v>
      </c>
      <c r="N5" s="52" t="s">
        <v>130</v>
      </c>
      <c r="O5" s="17" t="s">
        <v>86</v>
      </c>
      <c r="P5" s="17" t="s">
        <v>86</v>
      </c>
      <c r="Q5" s="81" t="s">
        <v>131</v>
      </c>
      <c r="R5" s="11">
        <v>29.934511000000001</v>
      </c>
      <c r="S5" s="11">
        <v>-83.076631000000006</v>
      </c>
      <c r="T5" s="11" t="s">
        <v>132</v>
      </c>
      <c r="U5" s="11" t="s">
        <v>133</v>
      </c>
      <c r="V5" s="17" t="s">
        <v>134</v>
      </c>
      <c r="W5" s="17" t="s">
        <v>110</v>
      </c>
      <c r="X5" s="70">
        <v>70</v>
      </c>
      <c r="Y5" s="70">
        <v>65</v>
      </c>
      <c r="Z5" s="13">
        <v>16739</v>
      </c>
      <c r="AA5" s="13">
        <v>16759</v>
      </c>
      <c r="AB5" s="13">
        <v>16828</v>
      </c>
      <c r="AC5" s="13">
        <v>16828</v>
      </c>
      <c r="AD5" s="86">
        <v>4133</v>
      </c>
      <c r="AE5" s="86">
        <v>4133</v>
      </c>
      <c r="AF5" s="70" t="s">
        <v>135</v>
      </c>
      <c r="AG5" s="17" t="s">
        <v>136</v>
      </c>
      <c r="AH5" s="17" t="s">
        <v>94</v>
      </c>
      <c r="AI5" s="70" t="s">
        <v>94</v>
      </c>
      <c r="AJ5" s="17" t="s">
        <v>94</v>
      </c>
      <c r="AK5" s="17" t="s">
        <v>95</v>
      </c>
      <c r="AL5" s="17" t="s">
        <v>137</v>
      </c>
      <c r="AM5" s="17" t="s">
        <v>95</v>
      </c>
      <c r="AN5" s="17" t="s">
        <v>94</v>
      </c>
      <c r="AO5" s="17" t="s">
        <v>98</v>
      </c>
      <c r="AP5" s="17" t="s">
        <v>98</v>
      </c>
      <c r="AQ5" s="17" t="s">
        <v>98</v>
      </c>
      <c r="AR5" s="17" t="s">
        <v>94</v>
      </c>
      <c r="AS5" s="17" t="s">
        <v>138</v>
      </c>
      <c r="AT5" s="17">
        <v>178</v>
      </c>
      <c r="AU5" s="30" t="s">
        <v>139</v>
      </c>
      <c r="AV5" s="14">
        <v>968</v>
      </c>
      <c r="AW5" s="74"/>
      <c r="AX5" s="1"/>
      <c r="AY5" s="17" t="s">
        <v>101</v>
      </c>
    </row>
    <row r="6" spans="1:51" ht="12.75" customHeight="1" x14ac:dyDescent="0.25">
      <c r="A6" s="5">
        <v>5</v>
      </c>
      <c r="B6" s="9">
        <v>5</v>
      </c>
      <c r="C6" s="9" t="s">
        <v>140</v>
      </c>
      <c r="D6" s="57" t="str">
        <f>HYPERLINK("http://prodenv.dep.state.fl.us/DepNexus/public/electronic-documents/OG_5/facility!search","OG_5_Docs")</f>
        <v>OG_5_Docs</v>
      </c>
      <c r="E6" s="57" t="str">
        <f>HYPERLINK("https://ca.dep.state.fl.us/mapdirect/?focus=oilandgas&amp;zoom=query&amp;querytype=oilandgas&amp;queryvalues=OG_5","OG_5_Map")</f>
        <v>OG_5_Map</v>
      </c>
      <c r="F6" s="1" t="s">
        <v>141</v>
      </c>
      <c r="G6" s="1" t="s">
        <v>79</v>
      </c>
      <c r="H6" s="1" t="s">
        <v>128</v>
      </c>
      <c r="I6" s="1" t="s">
        <v>142</v>
      </c>
      <c r="J6" s="17" t="s">
        <v>82</v>
      </c>
      <c r="K6" s="17" t="s">
        <v>83</v>
      </c>
      <c r="L6" s="17"/>
      <c r="M6" s="17" t="s">
        <v>101</v>
      </c>
      <c r="N6" s="52" t="s">
        <v>85</v>
      </c>
      <c r="O6" s="17" t="s">
        <v>86</v>
      </c>
      <c r="P6" s="17" t="s">
        <v>86</v>
      </c>
      <c r="Q6" s="81" t="s">
        <v>143</v>
      </c>
      <c r="R6" s="11">
        <v>29.695689999999999</v>
      </c>
      <c r="S6" s="11">
        <v>-82.805072999999993</v>
      </c>
      <c r="T6" s="11" t="s">
        <v>144</v>
      </c>
      <c r="U6" s="11" t="s">
        <v>145</v>
      </c>
      <c r="V6" s="17" t="s">
        <v>134</v>
      </c>
      <c r="W6" s="17" t="s">
        <v>110</v>
      </c>
      <c r="X6" s="70">
        <v>93</v>
      </c>
      <c r="Y6" s="70">
        <v>85</v>
      </c>
      <c r="Z6" s="13">
        <v>16827</v>
      </c>
      <c r="AA6" s="13">
        <v>16841</v>
      </c>
      <c r="AB6" s="13">
        <v>16888</v>
      </c>
      <c r="AC6" s="13">
        <v>16888</v>
      </c>
      <c r="AD6" s="86">
        <v>3753</v>
      </c>
      <c r="AE6" s="86">
        <v>3753</v>
      </c>
      <c r="AF6" s="70" t="s">
        <v>135</v>
      </c>
      <c r="AG6" s="17" t="s">
        <v>146</v>
      </c>
      <c r="AH6" s="17" t="s">
        <v>94</v>
      </c>
      <c r="AI6" s="70" t="s">
        <v>94</v>
      </c>
      <c r="AJ6" s="17" t="s">
        <v>94</v>
      </c>
      <c r="AK6" s="17" t="s">
        <v>95</v>
      </c>
      <c r="AL6" s="17" t="s">
        <v>147</v>
      </c>
      <c r="AM6" s="17" t="s">
        <v>95</v>
      </c>
      <c r="AN6" s="17" t="s">
        <v>86</v>
      </c>
      <c r="AO6" s="17" t="s">
        <v>98</v>
      </c>
      <c r="AP6" s="17" t="s">
        <v>98</v>
      </c>
      <c r="AQ6" s="17" t="s">
        <v>98</v>
      </c>
      <c r="AR6" s="17" t="s">
        <v>94</v>
      </c>
      <c r="AS6" s="17" t="s">
        <v>148</v>
      </c>
      <c r="AT6" s="17"/>
      <c r="AU6" s="30" t="s">
        <v>149</v>
      </c>
      <c r="AV6" s="14">
        <v>1003</v>
      </c>
      <c r="AW6" s="74"/>
      <c r="AX6" s="1"/>
      <c r="AY6" s="17" t="s">
        <v>101</v>
      </c>
    </row>
    <row r="7" spans="1:51" ht="12.75" customHeight="1" x14ac:dyDescent="0.25">
      <c r="A7" s="5">
        <v>6</v>
      </c>
      <c r="B7" s="9">
        <v>6</v>
      </c>
      <c r="C7" s="9" t="s">
        <v>150</v>
      </c>
      <c r="D7" s="57" t="str">
        <f>HYPERLINK("http://prodenv.dep.state.fl.us/DepNexus/public/electronic-documents/OG_6/facility!search","OG_6_Docs")</f>
        <v>OG_6_Docs</v>
      </c>
      <c r="E7" s="57" t="str">
        <f>HYPERLINK("https://ca.dep.state.fl.us/mapdirect/?focus=oilandgas&amp;zoom=query&amp;querytype=oilandgas&amp;queryvalues=OG_6","OG_6_Map")</f>
        <v>OG_6_Map</v>
      </c>
      <c r="F7" s="1" t="s">
        <v>151</v>
      </c>
      <c r="G7" s="1" t="s">
        <v>79</v>
      </c>
      <c r="H7" s="1" t="s">
        <v>104</v>
      </c>
      <c r="I7" s="1" t="s">
        <v>152</v>
      </c>
      <c r="J7" s="17" t="s">
        <v>82</v>
      </c>
      <c r="K7" s="17" t="s">
        <v>83</v>
      </c>
      <c r="L7" s="17"/>
      <c r="M7" s="17" t="s">
        <v>101</v>
      </c>
      <c r="N7" s="52" t="s">
        <v>130</v>
      </c>
      <c r="O7" s="17" t="s">
        <v>86</v>
      </c>
      <c r="P7" s="17" t="s">
        <v>86</v>
      </c>
      <c r="Q7" s="81" t="s">
        <v>153</v>
      </c>
      <c r="R7" s="11">
        <v>30.237617</v>
      </c>
      <c r="S7" s="11">
        <v>-85.469177000000002</v>
      </c>
      <c r="T7" s="11" t="s">
        <v>154</v>
      </c>
      <c r="U7" s="11" t="s">
        <v>155</v>
      </c>
      <c r="V7" s="17" t="s">
        <v>156</v>
      </c>
      <c r="W7" s="17" t="s">
        <v>110</v>
      </c>
      <c r="X7" s="70">
        <v>65</v>
      </c>
      <c r="Y7" s="70">
        <v>51.24</v>
      </c>
      <c r="Z7" s="13">
        <v>16830</v>
      </c>
      <c r="AA7" s="13">
        <v>16780</v>
      </c>
      <c r="AB7" s="13">
        <v>16810</v>
      </c>
      <c r="AC7" s="13">
        <v>16811</v>
      </c>
      <c r="AD7" s="86">
        <v>4960</v>
      </c>
      <c r="AE7" s="86">
        <v>4960</v>
      </c>
      <c r="AF7" s="70" t="s">
        <v>122</v>
      </c>
      <c r="AG7" s="17" t="s">
        <v>157</v>
      </c>
      <c r="AH7" s="17" t="s">
        <v>158</v>
      </c>
      <c r="AI7" s="70" t="s">
        <v>94</v>
      </c>
      <c r="AJ7" s="17" t="s">
        <v>94</v>
      </c>
      <c r="AK7" s="17" t="s">
        <v>95</v>
      </c>
      <c r="AL7" s="17" t="s">
        <v>94</v>
      </c>
      <c r="AM7" s="17" t="s">
        <v>94</v>
      </c>
      <c r="AN7" s="17" t="s">
        <v>94</v>
      </c>
      <c r="AO7" s="17" t="s">
        <v>98</v>
      </c>
      <c r="AP7" s="17" t="s">
        <v>98</v>
      </c>
      <c r="AQ7" s="17" t="s">
        <v>98</v>
      </c>
      <c r="AR7" s="17" t="s">
        <v>94</v>
      </c>
      <c r="AS7" s="17" t="s">
        <v>159</v>
      </c>
      <c r="AT7" s="17">
        <v>165</v>
      </c>
      <c r="AU7" s="30" t="s">
        <v>160</v>
      </c>
      <c r="AV7" s="14">
        <v>1102</v>
      </c>
      <c r="AW7" s="74"/>
      <c r="AX7" s="1"/>
      <c r="AY7" s="17" t="s">
        <v>101</v>
      </c>
    </row>
    <row r="8" spans="1:51" ht="12.75" customHeight="1" x14ac:dyDescent="0.25">
      <c r="A8" s="5">
        <v>7</v>
      </c>
      <c r="B8" s="9">
        <v>7</v>
      </c>
      <c r="C8" s="9" t="s">
        <v>161</v>
      </c>
      <c r="D8" s="57" t="str">
        <f>HYPERLINK("http://prodenv.dep.state.fl.us/DepNexus/public/electronic-documents/OG_7/facility!search","OG_7_Docs")</f>
        <v>OG_7_Docs</v>
      </c>
      <c r="E8" s="57" t="str">
        <f>HYPERLINK("https://ca.dep.state.fl.us/mapdirect/?focus=oilandgas&amp;zoom=query&amp;querytype=oilandgas&amp;queryvalues=OG_7","OG_7_Map")</f>
        <v>OG_7_Map</v>
      </c>
      <c r="F8" s="1" t="s">
        <v>162</v>
      </c>
      <c r="G8" s="1" t="s">
        <v>79</v>
      </c>
      <c r="H8" s="1" t="s">
        <v>104</v>
      </c>
      <c r="I8" s="1" t="s">
        <v>163</v>
      </c>
      <c r="J8" s="17" t="s">
        <v>82</v>
      </c>
      <c r="K8" s="17" t="s">
        <v>82</v>
      </c>
      <c r="L8" s="17"/>
      <c r="M8" s="17" t="s">
        <v>101</v>
      </c>
      <c r="N8" s="52" t="s">
        <v>85</v>
      </c>
      <c r="O8" s="17" t="s">
        <v>86</v>
      </c>
      <c r="P8" s="17" t="s">
        <v>86</v>
      </c>
      <c r="Q8" s="81" t="s">
        <v>164</v>
      </c>
      <c r="R8" s="11">
        <v>30.264761</v>
      </c>
      <c r="S8" s="11">
        <v>-85.040608000000006</v>
      </c>
      <c r="T8" s="11" t="s">
        <v>165</v>
      </c>
      <c r="U8" s="11" t="s">
        <v>166</v>
      </c>
      <c r="V8" s="17" t="s">
        <v>167</v>
      </c>
      <c r="W8" s="17" t="s">
        <v>110</v>
      </c>
      <c r="X8" s="70">
        <v>70</v>
      </c>
      <c r="Y8" s="70">
        <v>55.2</v>
      </c>
      <c r="Z8" s="13">
        <v>16830</v>
      </c>
      <c r="AA8" s="13">
        <v>16834</v>
      </c>
      <c r="AB8" s="13">
        <v>16853</v>
      </c>
      <c r="AC8" s="13">
        <v>16855</v>
      </c>
      <c r="AD8" s="86">
        <v>4506</v>
      </c>
      <c r="AE8" s="86">
        <v>4506</v>
      </c>
      <c r="AF8" s="70" t="s">
        <v>168</v>
      </c>
      <c r="AG8" s="17" t="s">
        <v>169</v>
      </c>
      <c r="AH8" s="17" t="s">
        <v>170</v>
      </c>
      <c r="AI8" s="70" t="s">
        <v>171</v>
      </c>
      <c r="AJ8" s="17" t="s">
        <v>94</v>
      </c>
      <c r="AK8" s="17" t="s">
        <v>95</v>
      </c>
      <c r="AL8" s="17" t="s">
        <v>94</v>
      </c>
      <c r="AM8" s="17" t="s">
        <v>94</v>
      </c>
      <c r="AN8" s="17" t="s">
        <v>94</v>
      </c>
      <c r="AO8" s="17" t="s">
        <v>98</v>
      </c>
      <c r="AP8" s="17" t="s">
        <v>98</v>
      </c>
      <c r="AQ8" s="17" t="s">
        <v>98</v>
      </c>
      <c r="AR8" s="17" t="s">
        <v>94</v>
      </c>
      <c r="AS8" s="17" t="s">
        <v>172</v>
      </c>
      <c r="AT8" s="17">
        <v>140</v>
      </c>
      <c r="AU8" s="30" t="s">
        <v>173</v>
      </c>
      <c r="AV8" s="14">
        <v>1106</v>
      </c>
      <c r="AW8" s="74"/>
      <c r="AX8" s="1"/>
      <c r="AY8" s="17" t="s">
        <v>101</v>
      </c>
    </row>
    <row r="9" spans="1:51" ht="12.75" customHeight="1" x14ac:dyDescent="0.25">
      <c r="A9" s="5">
        <v>8</v>
      </c>
      <c r="B9" s="9">
        <v>8</v>
      </c>
      <c r="C9" s="9" t="s">
        <v>174</v>
      </c>
      <c r="D9" s="57" t="str">
        <f>HYPERLINK("http://prodenv.dep.state.fl.us/DepNexus/public/electronic-documents/OG_8/facility!search","OG_8_Docs")</f>
        <v>OG_8_Docs</v>
      </c>
      <c r="E9" s="57" t="str">
        <f>HYPERLINK("https://ca.dep.state.fl.us/mapdirect/?focus=oilandgas&amp;zoom=query&amp;querytype=oilandgas&amp;queryvalues=OG_8","OG_8_Map")</f>
        <v>OG_8_Map</v>
      </c>
      <c r="F9" s="1" t="s">
        <v>175</v>
      </c>
      <c r="G9" s="1" t="s">
        <v>79</v>
      </c>
      <c r="H9" s="1" t="s">
        <v>176</v>
      </c>
      <c r="I9" s="1" t="s">
        <v>177</v>
      </c>
      <c r="J9" s="17" t="s">
        <v>82</v>
      </c>
      <c r="K9" s="17" t="s">
        <v>83</v>
      </c>
      <c r="L9" s="17"/>
      <c r="M9" s="17" t="s">
        <v>84</v>
      </c>
      <c r="N9" s="52" t="s">
        <v>85</v>
      </c>
      <c r="O9" s="17" t="s">
        <v>86</v>
      </c>
      <c r="P9" s="17" t="s">
        <v>86</v>
      </c>
      <c r="Q9" s="81" t="s">
        <v>178</v>
      </c>
      <c r="R9" s="11">
        <v>28.146735</v>
      </c>
      <c r="S9" s="11">
        <v>-80.897542999999999</v>
      </c>
      <c r="T9" s="11" t="s">
        <v>179</v>
      </c>
      <c r="U9" s="11" t="s">
        <v>180</v>
      </c>
      <c r="V9" s="17" t="s">
        <v>181</v>
      </c>
      <c r="W9" s="17" t="s">
        <v>110</v>
      </c>
      <c r="X9" s="70">
        <v>64</v>
      </c>
      <c r="Y9" s="70">
        <v>28</v>
      </c>
      <c r="Z9" s="13">
        <v>16854</v>
      </c>
      <c r="AA9" s="13">
        <v>16867</v>
      </c>
      <c r="AB9" s="13">
        <v>16998</v>
      </c>
      <c r="AC9" s="13">
        <v>16998</v>
      </c>
      <c r="AD9" s="86">
        <v>8045</v>
      </c>
      <c r="AE9" s="86">
        <v>8045</v>
      </c>
      <c r="AF9" s="70" t="s">
        <v>182</v>
      </c>
      <c r="AG9" s="17" t="s">
        <v>183</v>
      </c>
      <c r="AH9" s="17" t="s">
        <v>184</v>
      </c>
      <c r="AI9" s="70" t="s">
        <v>185</v>
      </c>
      <c r="AJ9" s="17" t="s">
        <v>94</v>
      </c>
      <c r="AK9" s="17" t="s">
        <v>95</v>
      </c>
      <c r="AL9" s="17" t="s">
        <v>186</v>
      </c>
      <c r="AM9" s="17" t="s">
        <v>94</v>
      </c>
      <c r="AN9" s="17" t="s">
        <v>94</v>
      </c>
      <c r="AO9" s="17" t="s">
        <v>98</v>
      </c>
      <c r="AP9" s="17" t="s">
        <v>98</v>
      </c>
      <c r="AQ9" s="17" t="s">
        <v>98</v>
      </c>
      <c r="AR9" s="17" t="s">
        <v>94</v>
      </c>
      <c r="AS9" s="17" t="s">
        <v>187</v>
      </c>
      <c r="AT9" s="17">
        <v>175</v>
      </c>
      <c r="AU9" s="30" t="s">
        <v>188</v>
      </c>
      <c r="AV9" s="14">
        <v>1014</v>
      </c>
      <c r="AW9" s="74"/>
      <c r="AX9" s="24" t="s">
        <v>189</v>
      </c>
      <c r="AY9" s="17" t="s">
        <v>101</v>
      </c>
    </row>
    <row r="10" spans="1:51" ht="12.75" customHeight="1" x14ac:dyDescent="0.25">
      <c r="A10" s="5">
        <v>9</v>
      </c>
      <c r="B10" s="9">
        <v>9</v>
      </c>
      <c r="C10" s="9" t="s">
        <v>190</v>
      </c>
      <c r="D10" s="57" t="str">
        <f>HYPERLINK("http://prodenv.dep.state.fl.us/DepNexus/public/electronic-documents/OG_9/facility!search","OG_9_Docs")</f>
        <v>OG_9_Docs</v>
      </c>
      <c r="E10" s="57" t="str">
        <f>HYPERLINK("https://ca.dep.state.fl.us/mapdirect/?focus=oilandgas&amp;zoom=query&amp;querytype=oilandgas&amp;queryvalues=OG_9","OG_9_Map")</f>
        <v>OG_9_Map</v>
      </c>
      <c r="F10" s="1" t="s">
        <v>191</v>
      </c>
      <c r="G10" s="1" t="s">
        <v>79</v>
      </c>
      <c r="H10" s="1" t="s">
        <v>104</v>
      </c>
      <c r="I10" s="1" t="s">
        <v>192</v>
      </c>
      <c r="J10" s="17" t="s">
        <v>82</v>
      </c>
      <c r="K10" s="17" t="s">
        <v>83</v>
      </c>
      <c r="L10" s="17"/>
      <c r="M10" s="17"/>
      <c r="N10" s="52" t="s">
        <v>193</v>
      </c>
      <c r="O10" s="17" t="s">
        <v>86</v>
      </c>
      <c r="P10" s="17" t="s">
        <v>86</v>
      </c>
      <c r="Q10" s="81" t="s">
        <v>194</v>
      </c>
      <c r="R10" s="11">
        <v>29.873117000000001</v>
      </c>
      <c r="S10" s="11">
        <v>-84.964537000000007</v>
      </c>
      <c r="T10" s="11" t="s">
        <v>195</v>
      </c>
      <c r="U10" s="11" t="s">
        <v>196</v>
      </c>
      <c r="V10" s="17" t="s">
        <v>197</v>
      </c>
      <c r="W10" s="17" t="s">
        <v>110</v>
      </c>
      <c r="X10" s="70"/>
      <c r="Y10" s="70">
        <v>14</v>
      </c>
      <c r="Z10" s="13">
        <v>16866</v>
      </c>
      <c r="AA10" s="13">
        <v>16877</v>
      </c>
      <c r="AB10" s="13">
        <v>16908</v>
      </c>
      <c r="AC10" s="13">
        <v>16911</v>
      </c>
      <c r="AD10" s="86">
        <v>4976</v>
      </c>
      <c r="AE10" s="86">
        <v>4976</v>
      </c>
      <c r="AF10" s="70" t="s">
        <v>198</v>
      </c>
      <c r="AG10" s="17" t="s">
        <v>199</v>
      </c>
      <c r="AH10" s="17" t="s">
        <v>200</v>
      </c>
      <c r="AI10" s="70" t="s">
        <v>94</v>
      </c>
      <c r="AJ10" s="17" t="s">
        <v>94</v>
      </c>
      <c r="AK10" s="17" t="s">
        <v>95</v>
      </c>
      <c r="AL10" s="17" t="s">
        <v>94</v>
      </c>
      <c r="AM10" s="17" t="s">
        <v>94</v>
      </c>
      <c r="AN10" s="17" t="s">
        <v>94</v>
      </c>
      <c r="AO10" s="17" t="s">
        <v>98</v>
      </c>
      <c r="AP10" s="17" t="s">
        <v>98</v>
      </c>
      <c r="AQ10" s="17" t="s">
        <v>98</v>
      </c>
      <c r="AR10" s="17" t="s">
        <v>94</v>
      </c>
      <c r="AS10" s="17" t="s">
        <v>201</v>
      </c>
      <c r="AT10" s="17" t="s">
        <v>94</v>
      </c>
      <c r="AU10" s="30" t="s">
        <v>202</v>
      </c>
      <c r="AV10" s="14">
        <v>1105</v>
      </c>
      <c r="AW10" s="74"/>
      <c r="AX10" s="1"/>
      <c r="AY10" s="17" t="s">
        <v>101</v>
      </c>
    </row>
    <row r="11" spans="1:51" ht="12.75" customHeight="1" x14ac:dyDescent="0.25">
      <c r="A11" s="5">
        <v>10</v>
      </c>
      <c r="B11" s="9">
        <v>10</v>
      </c>
      <c r="C11" s="9" t="s">
        <v>203</v>
      </c>
      <c r="D11" s="57" t="str">
        <f>HYPERLINK("http://prodenv.dep.state.fl.us/DepNexus/public/electronic-documents/OG_10/facility!search","OG_10_Docs")</f>
        <v>OG_10_Docs</v>
      </c>
      <c r="E11" s="57" t="str">
        <f>HYPERLINK("https://ca.dep.state.fl.us/mapdirect/?focus=oilandgas&amp;zoom=query&amp;querytype=oilandgas&amp;queryvalues=OG_10","OG_10_Map")</f>
        <v>OG_10_Map</v>
      </c>
      <c r="F11" s="1" t="s">
        <v>204</v>
      </c>
      <c r="G11" s="1" t="s">
        <v>79</v>
      </c>
      <c r="H11" s="1" t="s">
        <v>205</v>
      </c>
      <c r="I11" s="1" t="s">
        <v>206</v>
      </c>
      <c r="J11" s="17" t="s">
        <v>207</v>
      </c>
      <c r="K11" s="17" t="s">
        <v>208</v>
      </c>
      <c r="L11" s="17"/>
      <c r="M11" s="17" t="s">
        <v>207</v>
      </c>
      <c r="N11" s="52" t="s">
        <v>86</v>
      </c>
      <c r="O11" s="17" t="s">
        <v>86</v>
      </c>
      <c r="P11" s="17" t="s">
        <v>86</v>
      </c>
      <c r="Q11" s="81" t="s">
        <v>209</v>
      </c>
      <c r="R11" s="11">
        <v>25.267769000000001</v>
      </c>
      <c r="S11" s="11">
        <v>-80.449415000000002</v>
      </c>
      <c r="T11" s="11" t="s">
        <v>210</v>
      </c>
      <c r="U11" s="11" t="s">
        <v>211</v>
      </c>
      <c r="V11" s="17" t="s">
        <v>212</v>
      </c>
      <c r="W11" s="17" t="s">
        <v>110</v>
      </c>
      <c r="X11" s="70"/>
      <c r="Y11" s="71"/>
      <c r="Z11" s="13">
        <v>16880</v>
      </c>
      <c r="AA11" s="13"/>
      <c r="AB11" s="13"/>
      <c r="AC11" s="13"/>
      <c r="AD11" s="86"/>
      <c r="AE11" s="70"/>
      <c r="AF11" s="70" t="s">
        <v>207</v>
      </c>
      <c r="AG11" s="14" t="s">
        <v>207</v>
      </c>
      <c r="AH11" s="14" t="s">
        <v>207</v>
      </c>
      <c r="AI11" s="70" t="s">
        <v>207</v>
      </c>
      <c r="AJ11" s="14" t="s">
        <v>207</v>
      </c>
      <c r="AK11" s="14" t="s">
        <v>207</v>
      </c>
      <c r="AL11" s="14" t="s">
        <v>207</v>
      </c>
      <c r="AM11" s="14" t="s">
        <v>207</v>
      </c>
      <c r="AN11" s="14" t="s">
        <v>207</v>
      </c>
      <c r="AO11" s="14" t="s">
        <v>207</v>
      </c>
      <c r="AP11" s="14" t="s">
        <v>207</v>
      </c>
      <c r="AQ11" s="14" t="s">
        <v>207</v>
      </c>
      <c r="AR11" s="14" t="s">
        <v>207</v>
      </c>
      <c r="AS11" s="14" t="s">
        <v>207</v>
      </c>
      <c r="AT11" s="14" t="s">
        <v>207</v>
      </c>
      <c r="AU11" s="30" t="s">
        <v>213</v>
      </c>
      <c r="AV11" s="14" t="s">
        <v>207</v>
      </c>
      <c r="AW11" s="74"/>
      <c r="AX11" s="1"/>
      <c r="AY11" s="17" t="s">
        <v>101</v>
      </c>
    </row>
    <row r="12" spans="1:51" ht="12.75" customHeight="1" x14ac:dyDescent="0.25">
      <c r="A12" s="5">
        <v>11</v>
      </c>
      <c r="B12" s="9">
        <v>11</v>
      </c>
      <c r="C12" s="9" t="s">
        <v>214</v>
      </c>
      <c r="D12" s="57" t="str">
        <f>HYPERLINK("http://prodenv.dep.state.fl.us/DepNexus/public/electronic-documents/OG_11/facility!search","OG_11_Docs")</f>
        <v>OG_11_Docs</v>
      </c>
      <c r="E12" s="57" t="str">
        <f>HYPERLINK("https://ca.dep.state.fl.us/mapdirect/?focus=oilandgas&amp;zoom=query&amp;querytype=oilandgas&amp;queryvalues=OG_11","OG_11_Map")</f>
        <v>OG_11_Map</v>
      </c>
      <c r="F12" s="1" t="s">
        <v>215</v>
      </c>
      <c r="G12" s="1" t="s">
        <v>79</v>
      </c>
      <c r="H12" s="1" t="s">
        <v>216</v>
      </c>
      <c r="I12" s="1" t="s">
        <v>217</v>
      </c>
      <c r="J12" s="17" t="s">
        <v>82</v>
      </c>
      <c r="K12" s="17" t="s">
        <v>83</v>
      </c>
      <c r="L12" s="17"/>
      <c r="M12" s="17" t="s">
        <v>84</v>
      </c>
      <c r="N12" s="52" t="s">
        <v>85</v>
      </c>
      <c r="O12" s="17" t="s">
        <v>86</v>
      </c>
      <c r="P12" s="17" t="s">
        <v>86</v>
      </c>
      <c r="Q12" s="81" t="s">
        <v>218</v>
      </c>
      <c r="R12" s="11">
        <v>29.558036999999999</v>
      </c>
      <c r="S12" s="11">
        <v>-83.247398000000004</v>
      </c>
      <c r="T12" s="11" t="s">
        <v>219</v>
      </c>
      <c r="U12" s="11" t="s">
        <v>220</v>
      </c>
      <c r="V12" s="17" t="s">
        <v>221</v>
      </c>
      <c r="W12" s="17" t="s">
        <v>110</v>
      </c>
      <c r="X12" s="70"/>
      <c r="Y12" s="70">
        <v>23</v>
      </c>
      <c r="Z12" s="13">
        <v>16887</v>
      </c>
      <c r="AA12" s="13">
        <v>16911</v>
      </c>
      <c r="AB12" s="13">
        <v>17022</v>
      </c>
      <c r="AC12" s="13">
        <v>17024</v>
      </c>
      <c r="AD12" s="86">
        <v>7510</v>
      </c>
      <c r="AE12" s="86">
        <v>7510</v>
      </c>
      <c r="AF12" s="70" t="s">
        <v>222</v>
      </c>
      <c r="AG12" s="17" t="s">
        <v>223</v>
      </c>
      <c r="AH12" s="17" t="s">
        <v>224</v>
      </c>
      <c r="AI12" s="70" t="s">
        <v>94</v>
      </c>
      <c r="AJ12" s="17" t="s">
        <v>94</v>
      </c>
      <c r="AK12" s="17" t="s">
        <v>95</v>
      </c>
      <c r="AL12" s="17" t="s">
        <v>225</v>
      </c>
      <c r="AM12" s="17" t="s">
        <v>94</v>
      </c>
      <c r="AN12" s="17" t="s">
        <v>94</v>
      </c>
      <c r="AO12" s="17" t="s">
        <v>98</v>
      </c>
      <c r="AP12" s="17" t="s">
        <v>98</v>
      </c>
      <c r="AQ12" s="17" t="s">
        <v>98</v>
      </c>
      <c r="AR12" s="17" t="s">
        <v>94</v>
      </c>
      <c r="AS12" s="17" t="s">
        <v>226</v>
      </c>
      <c r="AT12" s="17"/>
      <c r="AU12" s="30" t="s">
        <v>227</v>
      </c>
      <c r="AV12" s="14">
        <v>1114</v>
      </c>
      <c r="AW12" s="74"/>
      <c r="AX12" s="1"/>
      <c r="AY12" s="17" t="s">
        <v>101</v>
      </c>
    </row>
    <row r="13" spans="1:51" ht="12" customHeight="1" x14ac:dyDescent="0.25">
      <c r="A13" s="5">
        <v>12</v>
      </c>
      <c r="B13" s="9">
        <v>12</v>
      </c>
      <c r="C13" s="9" t="s">
        <v>228</v>
      </c>
      <c r="D13" s="57" t="str">
        <f>HYPERLINK("http://prodenv.dep.state.fl.us/DepNexus/public/electronic-documents/OG_12/facility!search","OG_12_Docs")</f>
        <v>OG_12_Docs</v>
      </c>
      <c r="E13" s="57" t="str">
        <f>HYPERLINK("https://ca.dep.state.fl.us/mapdirect/?focus=oilandgas&amp;zoom=query&amp;querytype=oilandgas&amp;queryvalues=OG_12","OG_12_Map")</f>
        <v>OG_12_Map</v>
      </c>
      <c r="F13" s="1" t="s">
        <v>204</v>
      </c>
      <c r="G13" s="1" t="s">
        <v>79</v>
      </c>
      <c r="H13" s="1" t="s">
        <v>229</v>
      </c>
      <c r="I13" s="1" t="s">
        <v>206</v>
      </c>
      <c r="J13" s="17" t="s">
        <v>82</v>
      </c>
      <c r="K13" s="17" t="s">
        <v>83</v>
      </c>
      <c r="L13" s="17"/>
      <c r="M13" s="17" t="s">
        <v>84</v>
      </c>
      <c r="N13" s="52" t="s">
        <v>193</v>
      </c>
      <c r="O13" s="17" t="s">
        <v>86</v>
      </c>
      <c r="P13" s="17" t="s">
        <v>86</v>
      </c>
      <c r="Q13" s="81" t="s">
        <v>230</v>
      </c>
      <c r="R13" s="11">
        <v>25.226389999999999</v>
      </c>
      <c r="S13" s="11">
        <v>-80.832021999999995</v>
      </c>
      <c r="T13" s="11" t="s">
        <v>231</v>
      </c>
      <c r="U13" s="11" t="s">
        <v>232</v>
      </c>
      <c r="V13" s="17" t="s">
        <v>233</v>
      </c>
      <c r="W13" s="17" t="s">
        <v>110</v>
      </c>
      <c r="X13" s="70">
        <v>11</v>
      </c>
      <c r="Y13" s="70">
        <v>1</v>
      </c>
      <c r="Z13" s="13">
        <v>16894</v>
      </c>
      <c r="AA13" s="13">
        <v>16980</v>
      </c>
      <c r="AB13" s="13">
        <v>17066</v>
      </c>
      <c r="AC13" s="13">
        <v>17066</v>
      </c>
      <c r="AD13" s="86">
        <v>6030</v>
      </c>
      <c r="AE13" s="86">
        <v>6030</v>
      </c>
      <c r="AF13" s="70" t="s">
        <v>234</v>
      </c>
      <c r="AG13" s="17" t="s">
        <v>235</v>
      </c>
      <c r="AH13" s="17" t="s">
        <v>236</v>
      </c>
      <c r="AI13" s="70" t="s">
        <v>94</v>
      </c>
      <c r="AJ13" s="17" t="s">
        <v>94</v>
      </c>
      <c r="AK13" s="17" t="s">
        <v>95</v>
      </c>
      <c r="AL13" s="17" t="s">
        <v>237</v>
      </c>
      <c r="AM13" s="17" t="s">
        <v>94</v>
      </c>
      <c r="AN13" s="17" t="s">
        <v>94</v>
      </c>
      <c r="AO13" s="17" t="s">
        <v>98</v>
      </c>
      <c r="AP13" s="17" t="s">
        <v>98</v>
      </c>
      <c r="AQ13" s="17" t="s">
        <v>98</v>
      </c>
      <c r="AR13" s="17" t="s">
        <v>94</v>
      </c>
      <c r="AS13" s="17" t="s">
        <v>238</v>
      </c>
      <c r="AT13" s="17">
        <v>160</v>
      </c>
      <c r="AU13" s="30" t="s">
        <v>239</v>
      </c>
      <c r="AV13" s="14">
        <v>1115</v>
      </c>
      <c r="AW13" s="74"/>
      <c r="AX13" s="1"/>
      <c r="AY13" s="17" t="s">
        <v>101</v>
      </c>
    </row>
    <row r="14" spans="1:51" ht="12.75" customHeight="1" x14ac:dyDescent="0.25">
      <c r="A14" s="5">
        <v>13</v>
      </c>
      <c r="B14" s="9">
        <v>13</v>
      </c>
      <c r="C14" s="9" t="s">
        <v>240</v>
      </c>
      <c r="D14" s="57" t="str">
        <f>HYPERLINK("http://prodenv.dep.state.fl.us/DepNexus/public/electronic-documents/OG_13/facility!search","OG_13_Docs")</f>
        <v>OG_13_Docs</v>
      </c>
      <c r="E14" s="57" t="str">
        <f>HYPERLINK("https://ca.dep.state.fl.us/mapdirect/?focus=oilandgas&amp;zoom=query&amp;querytype=oilandgas&amp;queryvalues=OG_13","OG_13_Map")</f>
        <v>OG_13_Map</v>
      </c>
      <c r="F14" s="1" t="s">
        <v>241</v>
      </c>
      <c r="G14" s="1" t="s">
        <v>79</v>
      </c>
      <c r="H14" s="1" t="s">
        <v>128</v>
      </c>
      <c r="I14" s="1" t="s">
        <v>242</v>
      </c>
      <c r="J14" s="17" t="s">
        <v>82</v>
      </c>
      <c r="K14" s="17" t="s">
        <v>83</v>
      </c>
      <c r="L14" s="17"/>
      <c r="M14" s="17" t="s">
        <v>84</v>
      </c>
      <c r="N14" s="52" t="s">
        <v>85</v>
      </c>
      <c r="O14" s="17" t="s">
        <v>86</v>
      </c>
      <c r="P14" s="17" t="s">
        <v>86</v>
      </c>
      <c r="Q14" s="81" t="s">
        <v>243</v>
      </c>
      <c r="R14" s="11">
        <v>29.220845000000001</v>
      </c>
      <c r="S14" s="11">
        <v>-82.654602999999994</v>
      </c>
      <c r="T14" s="11" t="s">
        <v>244</v>
      </c>
      <c r="U14" s="11" t="s">
        <v>245</v>
      </c>
      <c r="V14" s="17" t="s">
        <v>246</v>
      </c>
      <c r="W14" s="17" t="s">
        <v>110</v>
      </c>
      <c r="X14" s="70">
        <v>33.9</v>
      </c>
      <c r="Y14" s="70">
        <v>28</v>
      </c>
      <c r="Z14" s="13">
        <v>16894</v>
      </c>
      <c r="AA14" s="13">
        <v>16896</v>
      </c>
      <c r="AB14" s="13">
        <v>16961</v>
      </c>
      <c r="AC14" s="13">
        <v>16961</v>
      </c>
      <c r="AD14" s="86">
        <v>3997</v>
      </c>
      <c r="AE14" s="86">
        <v>3997</v>
      </c>
      <c r="AF14" s="70" t="s">
        <v>247</v>
      </c>
      <c r="AG14" s="17" t="s">
        <v>248</v>
      </c>
      <c r="AH14" s="17" t="s">
        <v>249</v>
      </c>
      <c r="AI14" s="70" t="s">
        <v>94</v>
      </c>
      <c r="AJ14" s="17" t="s">
        <v>94</v>
      </c>
      <c r="AK14" s="17" t="s">
        <v>95</v>
      </c>
      <c r="AL14" s="17" t="s">
        <v>250</v>
      </c>
      <c r="AM14" s="17" t="s">
        <v>95</v>
      </c>
      <c r="AN14" s="17" t="s">
        <v>86</v>
      </c>
      <c r="AO14" s="17" t="s">
        <v>98</v>
      </c>
      <c r="AP14" s="17" t="s">
        <v>98</v>
      </c>
      <c r="AQ14" s="17" t="s">
        <v>98</v>
      </c>
      <c r="AR14" s="17" t="s">
        <v>94</v>
      </c>
      <c r="AS14" s="17" t="s">
        <v>251</v>
      </c>
      <c r="AT14" s="17" t="s">
        <v>94</v>
      </c>
      <c r="AU14" s="30" t="s">
        <v>252</v>
      </c>
      <c r="AV14" s="14">
        <v>1007</v>
      </c>
      <c r="AW14" s="74"/>
      <c r="AX14" s="24" t="s">
        <v>253</v>
      </c>
      <c r="AY14" s="17" t="s">
        <v>101</v>
      </c>
    </row>
    <row r="15" spans="1:51" ht="12.75" customHeight="1" x14ac:dyDescent="0.25">
      <c r="A15" s="5">
        <v>14</v>
      </c>
      <c r="B15" s="9">
        <v>14</v>
      </c>
      <c r="C15" s="9" t="s">
        <v>254</v>
      </c>
      <c r="D15" s="57" t="str">
        <f>HYPERLINK("http://prodenv.dep.state.fl.us/DepNexus/public/electronic-documents/OG_14/facility!search","OG_14_Docs")</f>
        <v>OG_14_Docs</v>
      </c>
      <c r="E15" s="57" t="str">
        <f>HYPERLINK("https://ca.dep.state.fl.us/mapdirect/?focus=oilandgas&amp;zoom=query&amp;querytype=oilandgas&amp;queryvalues=OG_14","OG_14_Map")</f>
        <v>OG_14_Map</v>
      </c>
      <c r="F15" s="1" t="s">
        <v>162</v>
      </c>
      <c r="G15" s="1" t="s">
        <v>79</v>
      </c>
      <c r="H15" s="1" t="s">
        <v>104</v>
      </c>
      <c r="I15" s="1" t="s">
        <v>255</v>
      </c>
      <c r="J15" s="17" t="s">
        <v>82</v>
      </c>
      <c r="K15" s="17" t="s">
        <v>82</v>
      </c>
      <c r="L15" s="17"/>
      <c r="M15" s="17" t="s">
        <v>101</v>
      </c>
      <c r="N15" s="52" t="s">
        <v>130</v>
      </c>
      <c r="O15" s="17" t="s">
        <v>86</v>
      </c>
      <c r="P15" s="17" t="s">
        <v>86</v>
      </c>
      <c r="Q15" s="81" t="s">
        <v>256</v>
      </c>
      <c r="R15" s="11">
        <v>30.031669000000001</v>
      </c>
      <c r="S15" s="11">
        <v>-84.790274999999994</v>
      </c>
      <c r="T15" s="11" t="s">
        <v>257</v>
      </c>
      <c r="U15" s="11" t="s">
        <v>258</v>
      </c>
      <c r="V15" s="17" t="s">
        <v>259</v>
      </c>
      <c r="W15" s="17" t="s">
        <v>110</v>
      </c>
      <c r="X15" s="70">
        <v>37</v>
      </c>
      <c r="Y15" s="70">
        <v>25.26</v>
      </c>
      <c r="Z15" s="13">
        <v>16922</v>
      </c>
      <c r="AA15" s="13">
        <v>16927</v>
      </c>
      <c r="AB15" s="13">
        <v>16950</v>
      </c>
      <c r="AC15" s="13">
        <v>16952</v>
      </c>
      <c r="AD15" s="86">
        <v>4744</v>
      </c>
      <c r="AE15" s="86">
        <v>4744</v>
      </c>
      <c r="AF15" s="70" t="s">
        <v>122</v>
      </c>
      <c r="AG15" s="17" t="s">
        <v>260</v>
      </c>
      <c r="AH15" s="17" t="s">
        <v>261</v>
      </c>
      <c r="AI15" s="70" t="s">
        <v>94</v>
      </c>
      <c r="AJ15" s="17" t="s">
        <v>94</v>
      </c>
      <c r="AK15" s="17" t="s">
        <v>95</v>
      </c>
      <c r="AL15" s="17" t="s">
        <v>94</v>
      </c>
      <c r="AM15" s="17" t="s">
        <v>94</v>
      </c>
      <c r="AN15" s="17" t="s">
        <v>94</v>
      </c>
      <c r="AO15" s="17" t="s">
        <v>98</v>
      </c>
      <c r="AP15" s="17" t="s">
        <v>98</v>
      </c>
      <c r="AQ15" s="17" t="s">
        <v>98</v>
      </c>
      <c r="AR15" s="17" t="s">
        <v>94</v>
      </c>
      <c r="AS15" s="17" t="s">
        <v>262</v>
      </c>
      <c r="AT15" s="17" t="s">
        <v>94</v>
      </c>
      <c r="AU15" s="30" t="s">
        <v>263</v>
      </c>
      <c r="AV15" s="14">
        <v>1385</v>
      </c>
      <c r="AW15" s="74"/>
      <c r="AX15" s="1"/>
      <c r="AY15" s="17" t="s">
        <v>101</v>
      </c>
    </row>
    <row r="16" spans="1:51" ht="15" customHeight="1" x14ac:dyDescent="0.25">
      <c r="A16" s="5">
        <v>15</v>
      </c>
      <c r="B16" s="9">
        <v>15</v>
      </c>
      <c r="C16" s="9" t="s">
        <v>264</v>
      </c>
      <c r="D16" s="57" t="str">
        <f>HYPERLINK("http://prodenv.dep.state.fl.us/DepNexus/public/electronic-documents/OG_15/facility!search","OG_15_Docs")</f>
        <v>OG_15_Docs</v>
      </c>
      <c r="E16" s="57" t="str">
        <f>HYPERLINK("https://ca.dep.state.fl.us/mapdirect/?focus=oilandgas&amp;zoom=query&amp;querytype=oilandgas&amp;queryvalues=OG_15","OG_15_Map")</f>
        <v>OG_15_Map</v>
      </c>
      <c r="F16" s="1" t="s">
        <v>265</v>
      </c>
      <c r="G16" s="1" t="s">
        <v>266</v>
      </c>
      <c r="H16" s="1" t="s">
        <v>176</v>
      </c>
      <c r="I16" s="1" t="s">
        <v>267</v>
      </c>
      <c r="J16" s="17" t="s">
        <v>268</v>
      </c>
      <c r="K16" s="17" t="s">
        <v>269</v>
      </c>
      <c r="L16" s="17"/>
      <c r="M16" s="17"/>
      <c r="N16" s="52" t="s">
        <v>193</v>
      </c>
      <c r="O16" s="17" t="s">
        <v>270</v>
      </c>
      <c r="P16" s="17" t="s">
        <v>86</v>
      </c>
      <c r="Q16" s="81" t="s">
        <v>271</v>
      </c>
      <c r="R16" s="11">
        <v>26.282921999999999</v>
      </c>
      <c r="S16" s="11">
        <v>-81.356988000000001</v>
      </c>
      <c r="T16" s="11" t="s">
        <v>272</v>
      </c>
      <c r="U16" s="11" t="s">
        <v>273</v>
      </c>
      <c r="V16" s="17" t="s">
        <v>274</v>
      </c>
      <c r="W16" s="17" t="s">
        <v>110</v>
      </c>
      <c r="X16" s="70">
        <v>31</v>
      </c>
      <c r="Y16" s="70">
        <v>15.1</v>
      </c>
      <c r="Z16" s="13">
        <v>16936</v>
      </c>
      <c r="AA16" s="13">
        <v>16947</v>
      </c>
      <c r="AB16" s="13">
        <v>17057</v>
      </c>
      <c r="AC16" s="13">
        <v>31815</v>
      </c>
      <c r="AD16" s="86">
        <v>11576</v>
      </c>
      <c r="AE16" s="86">
        <v>11576</v>
      </c>
      <c r="AF16" s="70" t="s">
        <v>275</v>
      </c>
      <c r="AG16" s="17" t="s">
        <v>276</v>
      </c>
      <c r="AH16" s="17" t="s">
        <v>277</v>
      </c>
      <c r="AI16" s="71" t="s">
        <v>278</v>
      </c>
      <c r="AJ16" s="17" t="s">
        <v>279</v>
      </c>
      <c r="AK16" s="17" t="s">
        <v>95</v>
      </c>
      <c r="AL16" s="17" t="s">
        <v>280</v>
      </c>
      <c r="AM16" s="17" t="s">
        <v>94</v>
      </c>
      <c r="AN16" s="17" t="s">
        <v>281</v>
      </c>
      <c r="AO16" s="17" t="s">
        <v>282</v>
      </c>
      <c r="AP16" s="17" t="s">
        <v>283</v>
      </c>
      <c r="AQ16" s="17" t="s">
        <v>284</v>
      </c>
      <c r="AR16" s="17" t="s">
        <v>285</v>
      </c>
      <c r="AS16" s="17" t="s">
        <v>286</v>
      </c>
      <c r="AT16" s="17"/>
      <c r="AU16" s="30" t="s">
        <v>287</v>
      </c>
      <c r="AV16" s="14">
        <v>1064</v>
      </c>
      <c r="AW16" s="74"/>
      <c r="AX16" s="1" t="s">
        <v>288</v>
      </c>
      <c r="AY16" s="17" t="s">
        <v>101</v>
      </c>
    </row>
    <row r="17" spans="1:51" ht="12.75" customHeight="1" x14ac:dyDescent="0.25">
      <c r="A17" s="5">
        <v>16</v>
      </c>
      <c r="B17" s="9">
        <v>16</v>
      </c>
      <c r="C17" s="9" t="s">
        <v>289</v>
      </c>
      <c r="D17" s="57" t="str">
        <f>HYPERLINK("http://prodenv.dep.state.fl.us/DepNexus/public/electronic-documents/OG_16/facility!search","OG_16_Docs")</f>
        <v>OG_16_Docs</v>
      </c>
      <c r="E17" s="57" t="str">
        <f>HYPERLINK("https://ca.dep.state.fl.us/mapdirect/?focus=oilandgas&amp;zoom=query&amp;querytype=oilandgas&amp;queryvalues=OG_16","OG_16_Map")</f>
        <v>OG_16_Map</v>
      </c>
      <c r="F17" s="1" t="s">
        <v>290</v>
      </c>
      <c r="G17" s="1" t="s">
        <v>79</v>
      </c>
      <c r="H17" s="1" t="s">
        <v>229</v>
      </c>
      <c r="I17" s="1" t="s">
        <v>291</v>
      </c>
      <c r="J17" s="17" t="s">
        <v>82</v>
      </c>
      <c r="K17" s="17" t="s">
        <v>83</v>
      </c>
      <c r="L17" s="17"/>
      <c r="M17" s="17" t="s">
        <v>101</v>
      </c>
      <c r="N17" s="52" t="s">
        <v>193</v>
      </c>
      <c r="O17" s="17" t="s">
        <v>292</v>
      </c>
      <c r="P17" s="17" t="s">
        <v>86</v>
      </c>
      <c r="Q17" s="81" t="s">
        <v>293</v>
      </c>
      <c r="R17" s="11">
        <v>24.607329</v>
      </c>
      <c r="S17" s="11">
        <v>-81.565487000000005</v>
      </c>
      <c r="T17" s="11" t="s">
        <v>294</v>
      </c>
      <c r="U17" s="11" t="s">
        <v>295</v>
      </c>
      <c r="V17" s="17" t="s">
        <v>296</v>
      </c>
      <c r="W17" s="17" t="s">
        <v>110</v>
      </c>
      <c r="X17" s="70">
        <v>23</v>
      </c>
      <c r="Y17" s="70">
        <v>2.5</v>
      </c>
      <c r="Z17" s="13">
        <v>16936</v>
      </c>
      <c r="AA17" s="13">
        <v>17084</v>
      </c>
      <c r="AB17" s="13">
        <v>17182</v>
      </c>
      <c r="AC17" s="13">
        <v>17183</v>
      </c>
      <c r="AD17" s="86">
        <v>6100</v>
      </c>
      <c r="AE17" s="86">
        <v>6100</v>
      </c>
      <c r="AF17" s="70" t="s">
        <v>297</v>
      </c>
      <c r="AG17" s="17" t="s">
        <v>298</v>
      </c>
      <c r="AH17" s="17" t="s">
        <v>299</v>
      </c>
      <c r="AI17" s="70" t="s">
        <v>94</v>
      </c>
      <c r="AJ17" s="17" t="s">
        <v>94</v>
      </c>
      <c r="AK17" s="17" t="s">
        <v>95</v>
      </c>
      <c r="AL17" s="17" t="s">
        <v>300</v>
      </c>
      <c r="AM17" s="17" t="s">
        <v>94</v>
      </c>
      <c r="AN17" s="17" t="s">
        <v>94</v>
      </c>
      <c r="AO17" s="17" t="s">
        <v>98</v>
      </c>
      <c r="AP17" s="17" t="s">
        <v>98</v>
      </c>
      <c r="AQ17" s="17" t="s">
        <v>98</v>
      </c>
      <c r="AR17" s="17" t="s">
        <v>94</v>
      </c>
      <c r="AS17" s="17" t="s">
        <v>301</v>
      </c>
      <c r="AT17" s="17">
        <v>99</v>
      </c>
      <c r="AU17" s="30" t="s">
        <v>302</v>
      </c>
      <c r="AV17" s="14">
        <v>1413</v>
      </c>
      <c r="AW17" s="74"/>
      <c r="AX17" s="1"/>
      <c r="AY17" s="17" t="s">
        <v>101</v>
      </c>
    </row>
    <row r="18" spans="1:51" ht="12.75" customHeight="1" x14ac:dyDescent="0.25">
      <c r="A18" s="5">
        <v>17</v>
      </c>
      <c r="B18" s="9">
        <v>17</v>
      </c>
      <c r="C18" s="9" t="s">
        <v>303</v>
      </c>
      <c r="D18" s="57" t="str">
        <f>HYPERLINK("http://prodenv.dep.state.fl.us/DepNexus/public/electronic-documents/OG_17/facility!search","OG_17_Docs")</f>
        <v>OG_17_Docs</v>
      </c>
      <c r="E18" s="57" t="str">
        <f>HYPERLINK("https://ca.dep.state.fl.us/mapdirect/?focus=oilandgas&amp;zoom=query&amp;querytype=oilandgas&amp;queryvalues=OG_17","OG_17_Map")</f>
        <v>OG_17_Map</v>
      </c>
      <c r="F18" s="1" t="s">
        <v>265</v>
      </c>
      <c r="G18" s="1" t="s">
        <v>79</v>
      </c>
      <c r="H18" s="1" t="s">
        <v>176</v>
      </c>
      <c r="I18" s="1" t="s">
        <v>304</v>
      </c>
      <c r="J18" s="17" t="s">
        <v>82</v>
      </c>
      <c r="K18" s="17" t="s">
        <v>83</v>
      </c>
      <c r="L18" s="17"/>
      <c r="M18" s="17"/>
      <c r="N18" s="52" t="s">
        <v>193</v>
      </c>
      <c r="O18" s="17" t="s">
        <v>270</v>
      </c>
      <c r="P18" s="17" t="s">
        <v>86</v>
      </c>
      <c r="Q18" s="81" t="s">
        <v>305</v>
      </c>
      <c r="R18" s="11">
        <v>26.355065</v>
      </c>
      <c r="S18" s="11">
        <v>-81.422155000000004</v>
      </c>
      <c r="T18" s="11" t="s">
        <v>306</v>
      </c>
      <c r="U18" s="11" t="s">
        <v>307</v>
      </c>
      <c r="V18" s="17" t="s">
        <v>308</v>
      </c>
      <c r="W18" s="17" t="s">
        <v>110</v>
      </c>
      <c r="X18" s="70"/>
      <c r="Y18" s="70">
        <v>20.2</v>
      </c>
      <c r="Z18" s="13">
        <v>17013</v>
      </c>
      <c r="AA18" s="13">
        <v>17031</v>
      </c>
      <c r="AB18" s="13">
        <v>17110</v>
      </c>
      <c r="AC18" s="13">
        <v>17111</v>
      </c>
      <c r="AD18" s="86">
        <v>5286</v>
      </c>
      <c r="AE18" s="86">
        <v>5286</v>
      </c>
      <c r="AF18" s="70" t="s">
        <v>309</v>
      </c>
      <c r="AG18" s="17" t="s">
        <v>310</v>
      </c>
      <c r="AH18" s="17" t="s">
        <v>94</v>
      </c>
      <c r="AI18" s="70" t="s">
        <v>94</v>
      </c>
      <c r="AJ18" s="17" t="s">
        <v>94</v>
      </c>
      <c r="AK18" s="17" t="s">
        <v>94</v>
      </c>
      <c r="AL18" s="17" t="s">
        <v>94</v>
      </c>
      <c r="AM18" s="17" t="s">
        <v>94</v>
      </c>
      <c r="AN18" s="17" t="s">
        <v>94</v>
      </c>
      <c r="AO18" s="17" t="s">
        <v>98</v>
      </c>
      <c r="AP18" s="17" t="s">
        <v>98</v>
      </c>
      <c r="AQ18" s="17" t="s">
        <v>98</v>
      </c>
      <c r="AR18" s="17" t="s">
        <v>94</v>
      </c>
      <c r="AS18" s="17" t="s">
        <v>311</v>
      </c>
      <c r="AT18" s="17"/>
      <c r="AU18" s="30" t="s">
        <v>312</v>
      </c>
      <c r="AV18" s="14">
        <v>379</v>
      </c>
      <c r="AW18" s="74"/>
      <c r="AX18" s="1"/>
      <c r="AY18" s="17" t="s">
        <v>101</v>
      </c>
    </row>
    <row r="19" spans="1:51" ht="12.75" customHeight="1" x14ac:dyDescent="0.25">
      <c r="A19" s="5">
        <v>18</v>
      </c>
      <c r="B19" s="9">
        <v>18</v>
      </c>
      <c r="C19" s="9" t="s">
        <v>313</v>
      </c>
      <c r="D19" s="57" t="str">
        <f>HYPERLINK("http://prodenv.dep.state.fl.us/DepNexus/public/electronic-documents/OG_18/facility!search","OG_18_Docs")</f>
        <v>OG_18_Docs</v>
      </c>
      <c r="E19" s="57" t="str">
        <f>HYPERLINK("https://ca.dep.state.fl.us/mapdirect/?focus=oilandgas&amp;zoom=query&amp;querytype=oilandgas&amp;queryvalues=OG_18","OG_18_Map")</f>
        <v>OG_18_Map</v>
      </c>
      <c r="F19" s="1" t="s">
        <v>314</v>
      </c>
      <c r="G19" s="1" t="s">
        <v>79</v>
      </c>
      <c r="H19" s="1" t="s">
        <v>315</v>
      </c>
      <c r="I19" s="1" t="s">
        <v>316</v>
      </c>
      <c r="J19" s="17" t="s">
        <v>82</v>
      </c>
      <c r="K19" s="17" t="s">
        <v>83</v>
      </c>
      <c r="L19" s="17"/>
      <c r="M19" s="17" t="s">
        <v>101</v>
      </c>
      <c r="N19" s="52" t="s">
        <v>85</v>
      </c>
      <c r="O19" s="17" t="s">
        <v>86</v>
      </c>
      <c r="P19" s="17" t="s">
        <v>86</v>
      </c>
      <c r="Q19" s="81" t="s">
        <v>317</v>
      </c>
      <c r="R19" s="11">
        <v>30.575240999999998</v>
      </c>
      <c r="S19" s="11">
        <v>-86.020668000000001</v>
      </c>
      <c r="T19" s="11" t="s">
        <v>318</v>
      </c>
      <c r="U19" s="11" t="s">
        <v>319</v>
      </c>
      <c r="V19" s="17" t="s">
        <v>320</v>
      </c>
      <c r="W19" s="17" t="s">
        <v>110</v>
      </c>
      <c r="X19" s="70"/>
      <c r="Y19" s="70">
        <v>136</v>
      </c>
      <c r="Z19" s="13">
        <v>16964</v>
      </c>
      <c r="AA19" s="13"/>
      <c r="AB19" s="13">
        <v>16990</v>
      </c>
      <c r="AC19" s="13">
        <v>16991</v>
      </c>
      <c r="AD19" s="86">
        <v>6503</v>
      </c>
      <c r="AE19" s="86">
        <v>6503</v>
      </c>
      <c r="AF19" s="70" t="s">
        <v>321</v>
      </c>
      <c r="AG19" s="17" t="s">
        <v>322</v>
      </c>
      <c r="AH19" s="17" t="s">
        <v>94</v>
      </c>
      <c r="AI19" s="70" t="s">
        <v>94</v>
      </c>
      <c r="AJ19" s="17" t="s">
        <v>94</v>
      </c>
      <c r="AK19" s="17" t="s">
        <v>95</v>
      </c>
      <c r="AL19" s="17" t="s">
        <v>323</v>
      </c>
      <c r="AM19" s="17" t="s">
        <v>94</v>
      </c>
      <c r="AN19" s="17" t="s">
        <v>94</v>
      </c>
      <c r="AO19" s="17" t="s">
        <v>98</v>
      </c>
      <c r="AP19" s="17" t="s">
        <v>98</v>
      </c>
      <c r="AQ19" s="17" t="s">
        <v>98</v>
      </c>
      <c r="AR19" s="17" t="s">
        <v>94</v>
      </c>
      <c r="AS19" s="17" t="s">
        <v>324</v>
      </c>
      <c r="AT19" s="17" t="s">
        <v>98</v>
      </c>
      <c r="AU19" s="30" t="s">
        <v>325</v>
      </c>
      <c r="AV19" s="14">
        <v>1086</v>
      </c>
      <c r="AW19" s="74"/>
      <c r="AX19" s="1"/>
      <c r="AY19" s="17" t="s">
        <v>101</v>
      </c>
    </row>
    <row r="20" spans="1:51" ht="12.75" customHeight="1" x14ac:dyDescent="0.25">
      <c r="A20" s="5">
        <v>19</v>
      </c>
      <c r="B20" s="9">
        <v>19</v>
      </c>
      <c r="C20" s="9" t="s">
        <v>326</v>
      </c>
      <c r="D20" s="57" t="str">
        <f>HYPERLINK("http://prodenv.dep.state.fl.us/DepNexus/public/electronic-documents/OG_19/facility!search","OG_19_Docs")</f>
        <v>OG_19_Docs</v>
      </c>
      <c r="E20" s="57" t="str">
        <f>HYPERLINK("https://ca.dep.state.fl.us/mapdirect/?focus=oilandgas&amp;zoom=query&amp;querytype=oilandgas&amp;queryvalues=OG_19","OG_19_Map")</f>
        <v>OG_19_Map</v>
      </c>
      <c r="F20" s="1" t="s">
        <v>327</v>
      </c>
      <c r="G20" s="1" t="s">
        <v>79</v>
      </c>
      <c r="H20" s="1" t="s">
        <v>128</v>
      </c>
      <c r="I20" s="1" t="s">
        <v>328</v>
      </c>
      <c r="J20" s="17" t="s">
        <v>82</v>
      </c>
      <c r="K20" s="17" t="s">
        <v>83</v>
      </c>
      <c r="L20" s="17" t="s">
        <v>101</v>
      </c>
      <c r="M20" s="17" t="s">
        <v>101</v>
      </c>
      <c r="N20" s="52" t="s">
        <v>85</v>
      </c>
      <c r="O20" s="17" t="s">
        <v>86</v>
      </c>
      <c r="P20" s="17" t="s">
        <v>86</v>
      </c>
      <c r="Q20" s="81" t="s">
        <v>329</v>
      </c>
      <c r="R20" s="11">
        <v>29.032747000000001</v>
      </c>
      <c r="S20" s="11">
        <v>-81.172185999999996</v>
      </c>
      <c r="T20" s="11" t="s">
        <v>330</v>
      </c>
      <c r="U20" s="11" t="s">
        <v>331</v>
      </c>
      <c r="V20" s="17" t="s">
        <v>332</v>
      </c>
      <c r="W20" s="17" t="s">
        <v>110</v>
      </c>
      <c r="X20" s="70">
        <v>48</v>
      </c>
      <c r="Y20" s="70"/>
      <c r="Z20" s="13">
        <v>16978</v>
      </c>
      <c r="AA20" s="13">
        <v>16978</v>
      </c>
      <c r="AB20" s="13">
        <v>17059</v>
      </c>
      <c r="AC20" s="13">
        <v>17059</v>
      </c>
      <c r="AD20" s="86">
        <v>5958</v>
      </c>
      <c r="AE20" s="86">
        <v>5958</v>
      </c>
      <c r="AF20" s="70" t="s">
        <v>333</v>
      </c>
      <c r="AG20" s="17" t="s">
        <v>334</v>
      </c>
      <c r="AH20" s="17" t="s">
        <v>94</v>
      </c>
      <c r="AI20" s="70" t="s">
        <v>94</v>
      </c>
      <c r="AJ20" s="17" t="s">
        <v>94</v>
      </c>
      <c r="AK20" s="17" t="s">
        <v>95</v>
      </c>
      <c r="AL20" s="17" t="s">
        <v>335</v>
      </c>
      <c r="AM20" s="17" t="s">
        <v>95</v>
      </c>
      <c r="AN20" s="17" t="s">
        <v>94</v>
      </c>
      <c r="AO20" s="17" t="s">
        <v>98</v>
      </c>
      <c r="AP20" s="17" t="s">
        <v>98</v>
      </c>
      <c r="AQ20" s="17" t="s">
        <v>98</v>
      </c>
      <c r="AR20" s="17" t="s">
        <v>94</v>
      </c>
      <c r="AS20" s="17" t="s">
        <v>336</v>
      </c>
      <c r="AT20" s="17"/>
      <c r="AU20" s="30" t="s">
        <v>337</v>
      </c>
      <c r="AV20" s="14">
        <v>1118</v>
      </c>
      <c r="AW20" s="74"/>
      <c r="AX20" s="1"/>
      <c r="AY20" s="17" t="s">
        <v>101</v>
      </c>
    </row>
    <row r="21" spans="1:51" ht="12.75" customHeight="1" x14ac:dyDescent="0.25">
      <c r="A21" s="5">
        <v>20</v>
      </c>
      <c r="B21" s="9">
        <v>20</v>
      </c>
      <c r="C21" s="9" t="s">
        <v>338</v>
      </c>
      <c r="D21" s="57" t="str">
        <f>HYPERLINK("http://prodenv.dep.state.fl.us/DepNexus/public/electronic-documents/OG_20/facility!search","OG_20_Docs")</f>
        <v>OG_20_Docs</v>
      </c>
      <c r="E21" s="57" t="str">
        <f>HYPERLINK("https://ca.dep.state.fl.us/mapdirect/?focus=oilandgas&amp;zoom=query&amp;querytype=oilandgas&amp;queryvalues=OG_20","OG_20_Map")</f>
        <v>OG_20_Map</v>
      </c>
      <c r="F21" s="1" t="s">
        <v>191</v>
      </c>
      <c r="G21" s="1" t="s">
        <v>79</v>
      </c>
      <c r="H21" s="1" t="s">
        <v>104</v>
      </c>
      <c r="I21" s="1" t="s">
        <v>339</v>
      </c>
      <c r="J21" s="17" t="s">
        <v>207</v>
      </c>
      <c r="K21" s="17" t="s">
        <v>208</v>
      </c>
      <c r="L21" s="17"/>
      <c r="M21" s="17" t="s">
        <v>207</v>
      </c>
      <c r="N21" s="52" t="s">
        <v>86</v>
      </c>
      <c r="O21" s="17" t="s">
        <v>86</v>
      </c>
      <c r="P21" s="17" t="s">
        <v>340</v>
      </c>
      <c r="Q21" s="81" t="s">
        <v>341</v>
      </c>
      <c r="R21" s="11">
        <v>29.949704000000001</v>
      </c>
      <c r="S21" s="11">
        <v>-84.625343999999998</v>
      </c>
      <c r="T21" s="11" t="s">
        <v>342</v>
      </c>
      <c r="U21" s="11" t="s">
        <v>343</v>
      </c>
      <c r="V21" s="17" t="s">
        <v>344</v>
      </c>
      <c r="W21" s="17" t="s">
        <v>110</v>
      </c>
      <c r="X21" s="70"/>
      <c r="Y21" s="70"/>
      <c r="Z21" s="13">
        <v>16978</v>
      </c>
      <c r="AA21" s="13"/>
      <c r="AB21" s="13"/>
      <c r="AC21" s="13"/>
      <c r="AD21" s="86"/>
      <c r="AE21" s="70"/>
      <c r="AF21" s="70" t="s">
        <v>207</v>
      </c>
      <c r="AG21" s="14" t="s">
        <v>207</v>
      </c>
      <c r="AH21" s="14" t="s">
        <v>207</v>
      </c>
      <c r="AI21" s="70" t="s">
        <v>207</v>
      </c>
      <c r="AJ21" s="14" t="s">
        <v>207</v>
      </c>
      <c r="AK21" s="14" t="s">
        <v>207</v>
      </c>
      <c r="AL21" s="14" t="s">
        <v>207</v>
      </c>
      <c r="AM21" s="14" t="s">
        <v>207</v>
      </c>
      <c r="AN21" s="14" t="s">
        <v>207</v>
      </c>
      <c r="AO21" s="14" t="s">
        <v>207</v>
      </c>
      <c r="AP21" s="14" t="s">
        <v>207</v>
      </c>
      <c r="AQ21" s="14" t="s">
        <v>207</v>
      </c>
      <c r="AR21" s="14" t="s">
        <v>207</v>
      </c>
      <c r="AS21" s="14" t="s">
        <v>207</v>
      </c>
      <c r="AT21" s="14" t="s">
        <v>207</v>
      </c>
      <c r="AU21" s="30" t="s">
        <v>345</v>
      </c>
      <c r="AV21" s="14" t="s">
        <v>207</v>
      </c>
      <c r="AW21" s="74"/>
      <c r="AX21" s="1"/>
      <c r="AY21" s="17" t="s">
        <v>101</v>
      </c>
    </row>
    <row r="22" spans="1:51" ht="12.75" customHeight="1" x14ac:dyDescent="0.25">
      <c r="A22" s="5">
        <v>21</v>
      </c>
      <c r="B22" s="9">
        <v>21</v>
      </c>
      <c r="C22" s="9" t="s">
        <v>346</v>
      </c>
      <c r="D22" s="57" t="str">
        <f>HYPERLINK("http://prodenv.dep.state.fl.us/DepNexus/public/electronic-documents/OG_21/facility!search","OG_21_Docs")</f>
        <v>OG_21_Docs</v>
      </c>
      <c r="E22" s="57" t="str">
        <f>HYPERLINK("https://ca.dep.state.fl.us/mapdirect/?focus=oilandgas&amp;zoom=query&amp;querytype=oilandgas&amp;queryvalues=OG_21","OG_21_Map")</f>
        <v>OG_21_Map</v>
      </c>
      <c r="F22" s="1" t="s">
        <v>241</v>
      </c>
      <c r="G22" s="1" t="s">
        <v>79</v>
      </c>
      <c r="H22" s="1" t="s">
        <v>347</v>
      </c>
      <c r="I22" s="1" t="s">
        <v>348</v>
      </c>
      <c r="J22" s="17" t="s">
        <v>82</v>
      </c>
      <c r="K22" s="17" t="s">
        <v>83</v>
      </c>
      <c r="L22" s="17"/>
      <c r="M22" s="17"/>
      <c r="N22" s="52" t="s">
        <v>86</v>
      </c>
      <c r="O22" s="17" t="s">
        <v>86</v>
      </c>
      <c r="P22" s="17" t="s">
        <v>86</v>
      </c>
      <c r="Q22" s="81" t="s">
        <v>349</v>
      </c>
      <c r="R22" s="11">
        <v>29.351413000000001</v>
      </c>
      <c r="S22" s="11">
        <v>-82.707746999999998</v>
      </c>
      <c r="T22" s="11" t="s">
        <v>350</v>
      </c>
      <c r="U22" s="11" t="s">
        <v>351</v>
      </c>
      <c r="V22" s="17" t="s">
        <v>352</v>
      </c>
      <c r="W22" s="17" t="s">
        <v>110</v>
      </c>
      <c r="X22" s="70"/>
      <c r="Y22" s="70">
        <v>33</v>
      </c>
      <c r="Z22" s="13">
        <v>16978</v>
      </c>
      <c r="AA22" s="13">
        <v>17477</v>
      </c>
      <c r="AB22" s="13">
        <v>16968</v>
      </c>
      <c r="AC22" s="13">
        <v>16968</v>
      </c>
      <c r="AD22" s="86">
        <v>774</v>
      </c>
      <c r="AE22" s="86">
        <v>774</v>
      </c>
      <c r="AF22" s="70" t="s">
        <v>353</v>
      </c>
      <c r="AG22" s="17" t="s">
        <v>354</v>
      </c>
      <c r="AH22" s="17" t="s">
        <v>94</v>
      </c>
      <c r="AI22" s="70" t="s">
        <v>94</v>
      </c>
      <c r="AJ22" s="17" t="s">
        <v>94</v>
      </c>
      <c r="AK22" s="17" t="s">
        <v>95</v>
      </c>
      <c r="AL22" s="17" t="s">
        <v>86</v>
      </c>
      <c r="AM22" s="17" t="s">
        <v>94</v>
      </c>
      <c r="AN22" s="17" t="s">
        <v>86</v>
      </c>
      <c r="AO22" s="17" t="s">
        <v>98</v>
      </c>
      <c r="AP22" s="17" t="s">
        <v>98</v>
      </c>
      <c r="AQ22" s="17" t="s">
        <v>98</v>
      </c>
      <c r="AR22" s="17" t="s">
        <v>94</v>
      </c>
      <c r="AS22" s="17" t="s">
        <v>355</v>
      </c>
      <c r="AT22" s="17"/>
      <c r="AU22" s="30" t="s">
        <v>356</v>
      </c>
      <c r="AV22" s="14">
        <v>1449</v>
      </c>
      <c r="AW22" s="74"/>
      <c r="AX22" s="24" t="s">
        <v>253</v>
      </c>
      <c r="AY22" s="17" t="s">
        <v>101</v>
      </c>
    </row>
    <row r="23" spans="1:51" ht="12.75" customHeight="1" x14ac:dyDescent="0.25">
      <c r="A23" s="5">
        <v>22</v>
      </c>
      <c r="B23" s="9">
        <v>22</v>
      </c>
      <c r="C23" s="9" t="s">
        <v>357</v>
      </c>
      <c r="D23" s="57" t="str">
        <f>HYPERLINK("http://prodenv.dep.state.fl.us/DepNexus/public/electronic-documents/OG_22/facility!search","OG_22_Docs")</f>
        <v>OG_22_Docs</v>
      </c>
      <c r="E23" s="57" t="str">
        <f>HYPERLINK("https://ca.dep.state.fl.us/mapdirect/?focus=oilandgas&amp;zoom=query&amp;querytype=oilandgas&amp;queryvalues=OG_22","OG_22_Map")</f>
        <v>OG_22_Map</v>
      </c>
      <c r="F23" s="1" t="s">
        <v>290</v>
      </c>
      <c r="G23" s="1" t="s">
        <v>79</v>
      </c>
      <c r="H23" s="1" t="s">
        <v>229</v>
      </c>
      <c r="I23" s="1" t="s">
        <v>358</v>
      </c>
      <c r="J23" s="17" t="s">
        <v>82</v>
      </c>
      <c r="K23" s="17" t="s">
        <v>83</v>
      </c>
      <c r="L23" s="17"/>
      <c r="M23" s="17" t="s">
        <v>101</v>
      </c>
      <c r="N23" s="52" t="s">
        <v>359</v>
      </c>
      <c r="O23" s="17" t="s">
        <v>292</v>
      </c>
      <c r="P23" s="17" t="s">
        <v>86</v>
      </c>
      <c r="Q23" s="81" t="s">
        <v>360</v>
      </c>
      <c r="R23" s="11">
        <v>24.636199999999999</v>
      </c>
      <c r="S23" s="11">
        <v>-81.357530999999994</v>
      </c>
      <c r="T23" s="11" t="s">
        <v>361</v>
      </c>
      <c r="U23" s="11" t="s">
        <v>362</v>
      </c>
      <c r="V23" s="17" t="s">
        <v>363</v>
      </c>
      <c r="W23" s="17" t="s">
        <v>110</v>
      </c>
      <c r="X23" s="70">
        <v>23</v>
      </c>
      <c r="Y23" s="70">
        <v>0</v>
      </c>
      <c r="Z23" s="13">
        <v>16726</v>
      </c>
      <c r="AA23" s="13">
        <v>16748</v>
      </c>
      <c r="AB23" s="13">
        <v>17266</v>
      </c>
      <c r="AC23" s="13">
        <v>17266</v>
      </c>
      <c r="AD23" s="86">
        <v>15455</v>
      </c>
      <c r="AE23" s="86">
        <v>15455</v>
      </c>
      <c r="AF23" s="70" t="s">
        <v>364</v>
      </c>
      <c r="AG23" s="17" t="s">
        <v>365</v>
      </c>
      <c r="AH23" s="17" t="s">
        <v>366</v>
      </c>
      <c r="AI23" s="70" t="s">
        <v>367</v>
      </c>
      <c r="AJ23" s="17" t="s">
        <v>94</v>
      </c>
      <c r="AK23" s="17" t="s">
        <v>95</v>
      </c>
      <c r="AL23" s="17" t="s">
        <v>368</v>
      </c>
      <c r="AM23" s="17" t="s">
        <v>95</v>
      </c>
      <c r="AN23" s="17" t="s">
        <v>94</v>
      </c>
      <c r="AO23" s="17" t="s">
        <v>98</v>
      </c>
      <c r="AP23" s="17" t="s">
        <v>98</v>
      </c>
      <c r="AQ23" s="17" t="s">
        <v>98</v>
      </c>
      <c r="AR23" s="17" t="s">
        <v>94</v>
      </c>
      <c r="AS23" s="17" t="s">
        <v>369</v>
      </c>
      <c r="AT23" s="17">
        <v>180</v>
      </c>
      <c r="AU23" s="30" t="s">
        <v>370</v>
      </c>
      <c r="AV23" s="14">
        <v>972</v>
      </c>
      <c r="AW23" s="74"/>
      <c r="AX23" s="1"/>
      <c r="AY23" s="17" t="s">
        <v>101</v>
      </c>
    </row>
    <row r="24" spans="1:51" ht="12.75" customHeight="1" x14ac:dyDescent="0.25">
      <c r="A24" s="5">
        <v>23</v>
      </c>
      <c r="B24" s="9">
        <v>23</v>
      </c>
      <c r="C24" s="9" t="s">
        <v>371</v>
      </c>
      <c r="D24" s="57" t="str">
        <f>HYPERLINK("http://prodenv.dep.state.fl.us/DepNexus/public/electronic-documents/OG_23/facility!search","OG_23_Docs")</f>
        <v>OG_23_Docs</v>
      </c>
      <c r="E24" s="57" t="str">
        <f>HYPERLINK("https://ca.dep.state.fl.us/mapdirect/?focus=oilandgas&amp;zoom=query&amp;querytype=oilandgas&amp;queryvalues=OG_23","OG_23_Map")</f>
        <v>OG_23_Map</v>
      </c>
      <c r="F24" s="1" t="s">
        <v>265</v>
      </c>
      <c r="G24" s="1" t="s">
        <v>266</v>
      </c>
      <c r="H24" s="1" t="s">
        <v>176</v>
      </c>
      <c r="I24" s="1" t="s">
        <v>372</v>
      </c>
      <c r="J24" s="17" t="s">
        <v>82</v>
      </c>
      <c r="K24" s="17" t="s">
        <v>83</v>
      </c>
      <c r="L24" s="17"/>
      <c r="M24" s="17"/>
      <c r="N24" s="52" t="s">
        <v>130</v>
      </c>
      <c r="O24" s="17" t="s">
        <v>270</v>
      </c>
      <c r="P24" s="17" t="s">
        <v>86</v>
      </c>
      <c r="Q24" s="81" t="s">
        <v>373</v>
      </c>
      <c r="R24" s="11">
        <v>26.305132</v>
      </c>
      <c r="S24" s="11">
        <v>-81.340534000000005</v>
      </c>
      <c r="T24" s="11" t="s">
        <v>374</v>
      </c>
      <c r="U24" s="11" t="s">
        <v>375</v>
      </c>
      <c r="V24" s="17" t="s">
        <v>212</v>
      </c>
      <c r="W24" s="17" t="s">
        <v>110</v>
      </c>
      <c r="X24" s="70">
        <v>34</v>
      </c>
      <c r="Y24" s="70">
        <v>21.4</v>
      </c>
      <c r="Z24" s="13">
        <v>17013</v>
      </c>
      <c r="AA24" s="13">
        <v>16615</v>
      </c>
      <c r="AB24" s="13">
        <v>16736</v>
      </c>
      <c r="AC24" s="13">
        <v>16732</v>
      </c>
      <c r="AD24" s="86">
        <v>11842</v>
      </c>
      <c r="AE24" s="86">
        <v>11842</v>
      </c>
      <c r="AF24" s="70" t="s">
        <v>376</v>
      </c>
      <c r="AG24" s="17" t="s">
        <v>377</v>
      </c>
      <c r="AH24" s="17" t="s">
        <v>378</v>
      </c>
      <c r="AI24" s="70" t="s">
        <v>94</v>
      </c>
      <c r="AJ24" s="17" t="s">
        <v>94</v>
      </c>
      <c r="AK24" s="17" t="s">
        <v>95</v>
      </c>
      <c r="AL24" s="17" t="s">
        <v>379</v>
      </c>
      <c r="AM24" s="17" t="s">
        <v>94</v>
      </c>
      <c r="AN24" s="17" t="s">
        <v>86</v>
      </c>
      <c r="AO24" s="17" t="s">
        <v>98</v>
      </c>
      <c r="AP24" s="17" t="s">
        <v>98</v>
      </c>
      <c r="AQ24" s="17" t="s">
        <v>98</v>
      </c>
      <c r="AR24" s="17" t="s">
        <v>94</v>
      </c>
      <c r="AS24" s="17" t="s">
        <v>380</v>
      </c>
      <c r="AT24" s="17">
        <v>172</v>
      </c>
      <c r="AU24" s="30" t="s">
        <v>381</v>
      </c>
      <c r="AV24" s="14">
        <v>970</v>
      </c>
      <c r="AW24" s="74"/>
      <c r="AX24" s="1"/>
      <c r="AY24" s="17" t="s">
        <v>101</v>
      </c>
    </row>
    <row r="25" spans="1:51" ht="12.75" customHeight="1" x14ac:dyDescent="0.25">
      <c r="A25" s="5">
        <v>24</v>
      </c>
      <c r="B25" s="9">
        <v>24</v>
      </c>
      <c r="C25" s="9" t="s">
        <v>382</v>
      </c>
      <c r="D25" s="57" t="str">
        <f>HYPERLINK("http://prodenv.dep.state.fl.us/DepNexus/public/electronic-documents/OG_24/facility!search","OG_24_Docs")</f>
        <v>OG_24_Docs</v>
      </c>
      <c r="E25" s="57" t="str">
        <f>HYPERLINK("https://ca.dep.state.fl.us/mapdirect/?focus=oilandgas&amp;zoom=query&amp;querytype=oilandgas&amp;queryvalues=OG_24","OG_24_Map")</f>
        <v>OG_24_Map</v>
      </c>
      <c r="F25" s="1" t="s">
        <v>103</v>
      </c>
      <c r="G25" s="1" t="s">
        <v>79</v>
      </c>
      <c r="H25" s="1" t="s">
        <v>104</v>
      </c>
      <c r="I25" s="1" t="s">
        <v>383</v>
      </c>
      <c r="J25" s="17" t="s">
        <v>82</v>
      </c>
      <c r="K25" s="17" t="s">
        <v>83</v>
      </c>
      <c r="L25" s="17"/>
      <c r="M25" s="17"/>
      <c r="N25" s="52" t="s">
        <v>193</v>
      </c>
      <c r="O25" s="17" t="s">
        <v>86</v>
      </c>
      <c r="P25" s="17" t="s">
        <v>86</v>
      </c>
      <c r="Q25" s="81" t="s">
        <v>384</v>
      </c>
      <c r="R25" s="11">
        <v>30.422277999999999</v>
      </c>
      <c r="S25" s="11">
        <v>-85.304411999999999</v>
      </c>
      <c r="T25" s="11" t="s">
        <v>385</v>
      </c>
      <c r="U25" s="11" t="s">
        <v>386</v>
      </c>
      <c r="V25" s="17" t="s">
        <v>387</v>
      </c>
      <c r="W25" s="17" t="s">
        <v>110</v>
      </c>
      <c r="X25" s="70">
        <v>197</v>
      </c>
      <c r="Y25" s="70">
        <v>183</v>
      </c>
      <c r="Z25" s="13">
        <v>16614</v>
      </c>
      <c r="AA25" s="13">
        <v>16625</v>
      </c>
      <c r="AB25" s="13">
        <v>17001</v>
      </c>
      <c r="AC25" s="13">
        <v>16640</v>
      </c>
      <c r="AD25" s="86">
        <v>3580</v>
      </c>
      <c r="AE25" s="86">
        <v>3580</v>
      </c>
      <c r="AF25" s="71" t="s">
        <v>122</v>
      </c>
      <c r="AG25" s="17" t="s">
        <v>388</v>
      </c>
      <c r="AH25" s="17" t="s">
        <v>389</v>
      </c>
      <c r="AI25" s="70" t="s">
        <v>94</v>
      </c>
      <c r="AJ25" s="17" t="s">
        <v>94</v>
      </c>
      <c r="AK25" s="17" t="s">
        <v>95</v>
      </c>
      <c r="AL25" s="17" t="s">
        <v>94</v>
      </c>
      <c r="AM25" s="17" t="s">
        <v>94</v>
      </c>
      <c r="AN25" s="17" t="s">
        <v>94</v>
      </c>
      <c r="AO25" s="17" t="s">
        <v>98</v>
      </c>
      <c r="AP25" s="17" t="s">
        <v>98</v>
      </c>
      <c r="AQ25" s="17" t="s">
        <v>98</v>
      </c>
      <c r="AR25" s="17" t="s">
        <v>94</v>
      </c>
      <c r="AS25" s="17" t="s">
        <v>390</v>
      </c>
      <c r="AT25" s="17"/>
      <c r="AU25" s="30" t="s">
        <v>391</v>
      </c>
      <c r="AV25" s="14">
        <v>1103</v>
      </c>
      <c r="AW25" s="74"/>
      <c r="AX25" s="1"/>
      <c r="AY25" s="17" t="s">
        <v>101</v>
      </c>
    </row>
    <row r="26" spans="1:51" ht="12.75" customHeight="1" x14ac:dyDescent="0.25">
      <c r="A26" s="5">
        <v>25</v>
      </c>
      <c r="B26" s="9">
        <v>25</v>
      </c>
      <c r="C26" s="9" t="s">
        <v>392</v>
      </c>
      <c r="D26" s="57" t="str">
        <f>HYPERLINK("http://prodenv.dep.state.fl.us/DepNexus/public/electronic-documents/OG_25/facility!search","OG_25_Docs")</f>
        <v>OG_25_Docs</v>
      </c>
      <c r="E26" s="57" t="str">
        <f>HYPERLINK("https://ca.dep.state.fl.us/mapdirect/?focus=oilandgas&amp;zoom=query&amp;querytype=oilandgas&amp;queryvalues=OG_25","OG_25_Map")</f>
        <v>OG_25_Map</v>
      </c>
      <c r="F26" s="1" t="s">
        <v>103</v>
      </c>
      <c r="G26" s="1" t="s">
        <v>79</v>
      </c>
      <c r="H26" s="1" t="s">
        <v>104</v>
      </c>
      <c r="I26" s="1" t="s">
        <v>393</v>
      </c>
      <c r="J26" s="17" t="s">
        <v>82</v>
      </c>
      <c r="K26" s="17" t="s">
        <v>83</v>
      </c>
      <c r="L26" s="17"/>
      <c r="M26" s="17" t="s">
        <v>101</v>
      </c>
      <c r="N26" s="52" t="s">
        <v>193</v>
      </c>
      <c r="O26" s="17" t="s">
        <v>86</v>
      </c>
      <c r="P26" s="17" t="s">
        <v>86</v>
      </c>
      <c r="Q26" s="81" t="s">
        <v>394</v>
      </c>
      <c r="R26" s="11">
        <v>30.373726000000001</v>
      </c>
      <c r="S26" s="11">
        <v>-85.290739000000002</v>
      </c>
      <c r="T26" s="11" t="s">
        <v>395</v>
      </c>
      <c r="U26" s="11" t="s">
        <v>396</v>
      </c>
      <c r="V26" s="17" t="s">
        <v>397</v>
      </c>
      <c r="W26" s="17" t="s">
        <v>110</v>
      </c>
      <c r="X26" s="70"/>
      <c r="Y26" s="70">
        <v>112.8</v>
      </c>
      <c r="Z26" s="13">
        <v>16999</v>
      </c>
      <c r="AA26" s="13">
        <v>16656</v>
      </c>
      <c r="AB26" s="13">
        <v>16666</v>
      </c>
      <c r="AC26" s="13">
        <v>16667</v>
      </c>
      <c r="AD26" s="86">
        <v>3460</v>
      </c>
      <c r="AE26" s="86">
        <v>3460</v>
      </c>
      <c r="AF26" s="71" t="s">
        <v>122</v>
      </c>
      <c r="AG26" s="17" t="s">
        <v>398</v>
      </c>
      <c r="AH26" s="17" t="s">
        <v>94</v>
      </c>
      <c r="AI26" s="70" t="s">
        <v>94</v>
      </c>
      <c r="AJ26" s="17" t="s">
        <v>94</v>
      </c>
      <c r="AK26" s="17" t="s">
        <v>94</v>
      </c>
      <c r="AL26" s="17" t="s">
        <v>94</v>
      </c>
      <c r="AM26" s="17" t="s">
        <v>94</v>
      </c>
      <c r="AN26" s="17" t="s">
        <v>94</v>
      </c>
      <c r="AO26" s="17" t="s">
        <v>98</v>
      </c>
      <c r="AP26" s="17" t="s">
        <v>98</v>
      </c>
      <c r="AQ26" s="17" t="s">
        <v>98</v>
      </c>
      <c r="AR26" s="17" t="s">
        <v>94</v>
      </c>
      <c r="AS26" s="17" t="s">
        <v>399</v>
      </c>
      <c r="AT26" s="17"/>
      <c r="AU26" s="30" t="s">
        <v>400</v>
      </c>
      <c r="AV26" s="14">
        <v>1101</v>
      </c>
      <c r="AW26" s="74"/>
      <c r="AX26" s="1"/>
      <c r="AY26" s="17" t="s">
        <v>101</v>
      </c>
    </row>
    <row r="27" spans="1:51" ht="12.75" customHeight="1" x14ac:dyDescent="0.25">
      <c r="A27" s="5">
        <v>26</v>
      </c>
      <c r="B27" s="9">
        <v>26</v>
      </c>
      <c r="C27" s="9" t="s">
        <v>401</v>
      </c>
      <c r="D27" s="57" t="str">
        <f>HYPERLINK("http://prodenv.dep.state.fl.us/DepNexus/public/electronic-documents/OG_26/facility!search","OG_26_Docs")</f>
        <v>OG_26_Docs</v>
      </c>
      <c r="E27" s="57" t="str">
        <f>HYPERLINK("https://ca.dep.state.fl.us/mapdirect/?focus=oilandgas&amp;zoom=query&amp;querytype=oilandgas&amp;queryvalues=OG_26","OG_26_Map")</f>
        <v>OG_26_Map</v>
      </c>
      <c r="F27" s="1" t="s">
        <v>103</v>
      </c>
      <c r="G27" s="1" t="s">
        <v>79</v>
      </c>
      <c r="H27" s="1" t="s">
        <v>104</v>
      </c>
      <c r="I27" s="1" t="s">
        <v>402</v>
      </c>
      <c r="J27" s="17" t="s">
        <v>82</v>
      </c>
      <c r="K27" s="17" t="s">
        <v>83</v>
      </c>
      <c r="L27" s="17"/>
      <c r="M27" s="17" t="s">
        <v>101</v>
      </c>
      <c r="N27" s="52" t="s">
        <v>85</v>
      </c>
      <c r="O27" s="17" t="s">
        <v>86</v>
      </c>
      <c r="P27" s="17" t="s">
        <v>86</v>
      </c>
      <c r="Q27" s="81" t="s">
        <v>403</v>
      </c>
      <c r="R27" s="11">
        <v>30.351073</v>
      </c>
      <c r="S27" s="11">
        <v>-85.278925999999998</v>
      </c>
      <c r="T27" s="11" t="s">
        <v>404</v>
      </c>
      <c r="U27" s="11" t="s">
        <v>405</v>
      </c>
      <c r="V27" s="17" t="s">
        <v>406</v>
      </c>
      <c r="W27" s="17" t="s">
        <v>110</v>
      </c>
      <c r="X27" s="70"/>
      <c r="Y27" s="70">
        <v>93.05</v>
      </c>
      <c r="Z27" s="13">
        <v>16682</v>
      </c>
      <c r="AA27" s="13">
        <v>16682</v>
      </c>
      <c r="AB27" s="13">
        <v>16704</v>
      </c>
      <c r="AC27" s="13">
        <v>16706</v>
      </c>
      <c r="AD27" s="86">
        <v>5096</v>
      </c>
      <c r="AE27" s="86">
        <v>5096</v>
      </c>
      <c r="AF27" s="71" t="s">
        <v>111</v>
      </c>
      <c r="AG27" s="17" t="s">
        <v>407</v>
      </c>
      <c r="AH27" s="17" t="s">
        <v>94</v>
      </c>
      <c r="AI27" s="70" t="s">
        <v>94</v>
      </c>
      <c r="AJ27" s="17" t="s">
        <v>94</v>
      </c>
      <c r="AK27" s="17" t="s">
        <v>94</v>
      </c>
      <c r="AL27" s="17" t="s">
        <v>94</v>
      </c>
      <c r="AM27" s="17" t="s">
        <v>94</v>
      </c>
      <c r="AN27" s="17" t="s">
        <v>94</v>
      </c>
      <c r="AO27" s="17" t="s">
        <v>98</v>
      </c>
      <c r="AP27" s="17" t="s">
        <v>98</v>
      </c>
      <c r="AQ27" s="17" t="s">
        <v>98</v>
      </c>
      <c r="AR27" s="17" t="s">
        <v>94</v>
      </c>
      <c r="AS27" s="17" t="s">
        <v>408</v>
      </c>
      <c r="AT27" s="17"/>
      <c r="AU27" s="30" t="s">
        <v>409</v>
      </c>
      <c r="AV27" s="14">
        <v>1100</v>
      </c>
      <c r="AW27" s="74"/>
      <c r="AX27" s="1"/>
      <c r="AY27" s="17" t="s">
        <v>101</v>
      </c>
    </row>
    <row r="28" spans="1:51" ht="15" customHeight="1" x14ac:dyDescent="0.25">
      <c r="A28" s="5">
        <v>27</v>
      </c>
      <c r="B28" s="9">
        <v>27</v>
      </c>
      <c r="C28" s="9" t="s">
        <v>410</v>
      </c>
      <c r="D28" s="57" t="str">
        <f>HYPERLINK("http://prodenv.dep.state.fl.us/DepNexus/public/electronic-documents/OG_27/facility!search","OG_27_Docs")</f>
        <v>OG_27_Docs</v>
      </c>
      <c r="E28" s="57" t="str">
        <f>HYPERLINK("https://ca.dep.state.fl.us/mapdirect/?focus=oilandgas&amp;zoom=query&amp;querytype=oilandgas&amp;queryvalues=OG_27","OG_27_Map")</f>
        <v>OG_27_Map</v>
      </c>
      <c r="F28" s="1" t="s">
        <v>265</v>
      </c>
      <c r="G28" s="1" t="s">
        <v>266</v>
      </c>
      <c r="H28" s="1" t="s">
        <v>176</v>
      </c>
      <c r="I28" s="1" t="s">
        <v>411</v>
      </c>
      <c r="J28" s="17" t="s">
        <v>268</v>
      </c>
      <c r="K28" s="17" t="s">
        <v>412</v>
      </c>
      <c r="L28" s="17"/>
      <c r="M28" s="17"/>
      <c r="N28" s="52" t="s">
        <v>413</v>
      </c>
      <c r="O28" s="17" t="s">
        <v>270</v>
      </c>
      <c r="P28" s="17" t="s">
        <v>86</v>
      </c>
      <c r="Q28" s="81" t="s">
        <v>414</v>
      </c>
      <c r="R28" s="11">
        <v>26.290233000000001</v>
      </c>
      <c r="S28" s="11">
        <v>-81.356924000000006</v>
      </c>
      <c r="T28" s="11" t="s">
        <v>415</v>
      </c>
      <c r="U28" s="11" t="s">
        <v>416</v>
      </c>
      <c r="V28" s="17" t="s">
        <v>417</v>
      </c>
      <c r="W28" s="17" t="s">
        <v>110</v>
      </c>
      <c r="X28" s="70">
        <v>31</v>
      </c>
      <c r="Y28" s="70">
        <v>19.8</v>
      </c>
      <c r="Z28" s="13">
        <v>17013</v>
      </c>
      <c r="AA28" s="13">
        <v>16748</v>
      </c>
      <c r="AB28" s="13">
        <v>31513</v>
      </c>
      <c r="AC28" s="13">
        <v>16917</v>
      </c>
      <c r="AD28" s="86">
        <v>11578</v>
      </c>
      <c r="AE28" s="86">
        <v>11578</v>
      </c>
      <c r="AF28" s="70" t="s">
        <v>418</v>
      </c>
      <c r="AG28" s="17" t="s">
        <v>419</v>
      </c>
      <c r="AH28" s="17" t="s">
        <v>420</v>
      </c>
      <c r="AI28" s="70" t="s">
        <v>421</v>
      </c>
      <c r="AJ28" s="17" t="s">
        <v>94</v>
      </c>
      <c r="AK28" s="17" t="s">
        <v>94</v>
      </c>
      <c r="AL28" s="17" t="s">
        <v>95</v>
      </c>
      <c r="AM28" s="17" t="s">
        <v>94</v>
      </c>
      <c r="AN28" s="17" t="s">
        <v>422</v>
      </c>
      <c r="AO28" s="17" t="s">
        <v>423</v>
      </c>
      <c r="AP28" s="17" t="s">
        <v>424</v>
      </c>
      <c r="AQ28" s="17" t="s">
        <v>425</v>
      </c>
      <c r="AR28" s="17" t="s">
        <v>426</v>
      </c>
      <c r="AS28" s="17" t="s">
        <v>427</v>
      </c>
      <c r="AT28" s="17">
        <v>296</v>
      </c>
      <c r="AU28" s="30" t="s">
        <v>428</v>
      </c>
      <c r="AV28" s="14">
        <v>1004</v>
      </c>
      <c r="AW28" s="74"/>
      <c r="AX28" s="1"/>
      <c r="AY28" s="17" t="s">
        <v>101</v>
      </c>
    </row>
    <row r="29" spans="1:51" ht="12.75" customHeight="1" x14ac:dyDescent="0.25">
      <c r="A29" s="5">
        <v>28</v>
      </c>
      <c r="B29" s="9">
        <v>28</v>
      </c>
      <c r="C29" s="9" t="s">
        <v>429</v>
      </c>
      <c r="D29" s="57" t="str">
        <f>HYPERLINK("http://prodenv.dep.state.fl.us/DepNexus/public/electronic-documents/OG_28/facility!search","OG_28_Docs")</f>
        <v>OG_28_Docs</v>
      </c>
      <c r="E29" s="57" t="str">
        <f>HYPERLINK("https://ca.dep.state.fl.us/mapdirect/?focus=oilandgas&amp;zoom=query&amp;querytype=oilandgas&amp;queryvalues=OG_28","OG_28_Map")</f>
        <v>OG_28_Map</v>
      </c>
      <c r="F29" s="1" t="s">
        <v>314</v>
      </c>
      <c r="G29" s="1" t="s">
        <v>79</v>
      </c>
      <c r="H29" s="1" t="s">
        <v>430</v>
      </c>
      <c r="I29" s="1" t="s">
        <v>431</v>
      </c>
      <c r="J29" s="17" t="s">
        <v>82</v>
      </c>
      <c r="K29" s="17" t="s">
        <v>83</v>
      </c>
      <c r="L29" s="17"/>
      <c r="M29" s="17" t="s">
        <v>101</v>
      </c>
      <c r="N29" s="52" t="s">
        <v>86</v>
      </c>
      <c r="O29" s="17" t="s">
        <v>86</v>
      </c>
      <c r="P29" s="17" t="s">
        <v>86</v>
      </c>
      <c r="Q29" s="81" t="s">
        <v>432</v>
      </c>
      <c r="R29" s="11">
        <v>30.446546999999999</v>
      </c>
      <c r="S29" s="11">
        <v>-86.104444000000001</v>
      </c>
      <c r="T29" s="11" t="s">
        <v>433</v>
      </c>
      <c r="U29" s="11" t="s">
        <v>434</v>
      </c>
      <c r="V29" s="29" t="s">
        <v>435</v>
      </c>
      <c r="W29" s="17" t="s">
        <v>110</v>
      </c>
      <c r="X29" s="70"/>
      <c r="Y29" s="70"/>
      <c r="Z29" s="13"/>
      <c r="AA29" s="13">
        <v>16193</v>
      </c>
      <c r="AB29" s="13"/>
      <c r="AC29" s="13"/>
      <c r="AD29" s="86">
        <v>856</v>
      </c>
      <c r="AE29" s="86">
        <v>856</v>
      </c>
      <c r="AF29" s="70" t="s">
        <v>94</v>
      </c>
      <c r="AG29" s="17" t="s">
        <v>94</v>
      </c>
      <c r="AH29" s="17" t="s">
        <v>94</v>
      </c>
      <c r="AI29" s="70" t="s">
        <v>94</v>
      </c>
      <c r="AJ29" s="17" t="s">
        <v>94</v>
      </c>
      <c r="AK29" s="17" t="s">
        <v>94</v>
      </c>
      <c r="AL29" s="17" t="s">
        <v>94</v>
      </c>
      <c r="AM29" s="17" t="s">
        <v>94</v>
      </c>
      <c r="AN29" s="17" t="s">
        <v>94</v>
      </c>
      <c r="AO29" s="17" t="s">
        <v>98</v>
      </c>
      <c r="AP29" s="17" t="s">
        <v>98</v>
      </c>
      <c r="AQ29" s="17" t="s">
        <v>98</v>
      </c>
      <c r="AR29" s="17" t="s">
        <v>94</v>
      </c>
      <c r="AS29" s="17" t="s">
        <v>94</v>
      </c>
      <c r="AT29" s="17"/>
      <c r="AU29" s="30" t="s">
        <v>436</v>
      </c>
      <c r="AV29" s="14">
        <v>842</v>
      </c>
      <c r="AW29" s="74"/>
      <c r="AX29" s="1"/>
      <c r="AY29" s="17" t="s">
        <v>101</v>
      </c>
    </row>
    <row r="30" spans="1:51" ht="12.75" customHeight="1" x14ac:dyDescent="0.25">
      <c r="A30" s="5">
        <v>29</v>
      </c>
      <c r="B30" s="9">
        <v>29</v>
      </c>
      <c r="C30" s="9" t="s">
        <v>437</v>
      </c>
      <c r="D30" s="57" t="str">
        <f>HYPERLINK("http://prodenv.dep.state.fl.us/DepNexus/public/electronic-documents/OG_29/facility!search","OG_29_Docs")</f>
        <v>OG_29_Docs</v>
      </c>
      <c r="E30" s="57" t="str">
        <f>HYPERLINK("https://ca.dep.state.fl.us/mapdirect/?focus=oilandgas&amp;zoom=query&amp;querytype=oilandgas&amp;queryvalues=OG_29","OG_29_Map")</f>
        <v>OG_29_Map</v>
      </c>
      <c r="F30" s="1" t="s">
        <v>438</v>
      </c>
      <c r="G30" s="1" t="s">
        <v>79</v>
      </c>
      <c r="H30" s="1" t="s">
        <v>176</v>
      </c>
      <c r="I30" s="1" t="s">
        <v>439</v>
      </c>
      <c r="J30" s="17" t="s">
        <v>82</v>
      </c>
      <c r="K30" s="17" t="s">
        <v>83</v>
      </c>
      <c r="L30" s="17"/>
      <c r="M30" s="17" t="s">
        <v>101</v>
      </c>
      <c r="N30" s="52" t="s">
        <v>193</v>
      </c>
      <c r="O30" s="17" t="s">
        <v>86</v>
      </c>
      <c r="P30" s="17" t="s">
        <v>86</v>
      </c>
      <c r="Q30" s="81" t="s">
        <v>440</v>
      </c>
      <c r="R30" s="11">
        <v>27.805150000000001</v>
      </c>
      <c r="S30" s="11">
        <v>-82.139212999999998</v>
      </c>
      <c r="T30" s="11" t="s">
        <v>441</v>
      </c>
      <c r="U30" s="11" t="s">
        <v>442</v>
      </c>
      <c r="V30" s="17" t="s">
        <v>443</v>
      </c>
      <c r="W30" s="17" t="s">
        <v>110</v>
      </c>
      <c r="X30" s="70">
        <v>109</v>
      </c>
      <c r="Y30" s="70">
        <v>99</v>
      </c>
      <c r="Z30" s="13">
        <v>16816</v>
      </c>
      <c r="AA30" s="13">
        <v>16845</v>
      </c>
      <c r="AB30" s="13">
        <v>16988</v>
      </c>
      <c r="AC30" s="13">
        <v>16988</v>
      </c>
      <c r="AD30" s="86">
        <v>10129</v>
      </c>
      <c r="AE30" s="86">
        <v>10129</v>
      </c>
      <c r="AF30" s="70" t="s">
        <v>444</v>
      </c>
      <c r="AG30" s="17" t="s">
        <v>445</v>
      </c>
      <c r="AH30" s="17" t="s">
        <v>446</v>
      </c>
      <c r="AI30" s="70" t="s">
        <v>94</v>
      </c>
      <c r="AJ30" s="17" t="s">
        <v>94</v>
      </c>
      <c r="AK30" s="17" t="s">
        <v>95</v>
      </c>
      <c r="AL30" s="17" t="s">
        <v>447</v>
      </c>
      <c r="AM30" s="17" t="s">
        <v>94</v>
      </c>
      <c r="AN30" s="17" t="s">
        <v>94</v>
      </c>
      <c r="AO30" s="17" t="s">
        <v>98</v>
      </c>
      <c r="AP30" s="17" t="s">
        <v>98</v>
      </c>
      <c r="AQ30" s="17" t="s">
        <v>98</v>
      </c>
      <c r="AR30" s="17" t="s">
        <v>94</v>
      </c>
      <c r="AS30" s="17" t="s">
        <v>448</v>
      </c>
      <c r="AT30" s="17">
        <v>204</v>
      </c>
      <c r="AU30" s="30" t="s">
        <v>449</v>
      </c>
      <c r="AV30" s="14">
        <v>1005</v>
      </c>
      <c r="AW30" s="74"/>
      <c r="AX30" s="1"/>
      <c r="AY30" s="17" t="s">
        <v>101</v>
      </c>
    </row>
    <row r="31" spans="1:51" ht="12.75" customHeight="1" x14ac:dyDescent="0.25">
      <c r="A31" s="5">
        <v>30</v>
      </c>
      <c r="B31" s="9">
        <v>30</v>
      </c>
      <c r="C31" s="9" t="s">
        <v>450</v>
      </c>
      <c r="D31" s="57" t="str">
        <f>HYPERLINK("http://prodenv.dep.state.fl.us/DepNexus/public/electronic-documents/OG_30/facility!search","OG_30_Docs")</f>
        <v>OG_30_Docs</v>
      </c>
      <c r="E31" s="57" t="str">
        <f>HYPERLINK("https://ca.dep.state.fl.us/mapdirect/?focus=oilandgas&amp;zoom=query&amp;querytype=oilandgas&amp;queryvalues=OG_30","OG_30_Map")</f>
        <v>OG_30_Map</v>
      </c>
      <c r="F31" s="1" t="s">
        <v>191</v>
      </c>
      <c r="G31" s="1" t="s">
        <v>79</v>
      </c>
      <c r="H31" s="1" t="s">
        <v>104</v>
      </c>
      <c r="I31" s="1" t="s">
        <v>451</v>
      </c>
      <c r="J31" s="17" t="s">
        <v>82</v>
      </c>
      <c r="K31" s="17" t="s">
        <v>83</v>
      </c>
      <c r="L31" s="17"/>
      <c r="M31" s="17"/>
      <c r="N31" s="52" t="s">
        <v>193</v>
      </c>
      <c r="O31" s="17" t="s">
        <v>86</v>
      </c>
      <c r="P31" s="17" t="s">
        <v>86</v>
      </c>
      <c r="Q31" s="81" t="s">
        <v>452</v>
      </c>
      <c r="R31" s="11">
        <v>29.919253000000001</v>
      </c>
      <c r="S31" s="11">
        <v>-84.624409999999997</v>
      </c>
      <c r="T31" s="11" t="s">
        <v>453</v>
      </c>
      <c r="U31" s="11" t="s">
        <v>454</v>
      </c>
      <c r="V31" s="17" t="s">
        <v>455</v>
      </c>
      <c r="W31" s="17" t="s">
        <v>110</v>
      </c>
      <c r="X31" s="70"/>
      <c r="Y31" s="70">
        <v>7.64</v>
      </c>
      <c r="Z31" s="13">
        <v>16999</v>
      </c>
      <c r="AA31" s="13">
        <v>17003</v>
      </c>
      <c r="AB31" s="13">
        <v>17027</v>
      </c>
      <c r="AC31" s="13">
        <v>17031</v>
      </c>
      <c r="AD31" s="86">
        <v>4787</v>
      </c>
      <c r="AE31" s="86">
        <v>4787</v>
      </c>
      <c r="AF31" s="70" t="s">
        <v>456</v>
      </c>
      <c r="AG31" s="17" t="s">
        <v>457</v>
      </c>
      <c r="AH31" s="17" t="s">
        <v>94</v>
      </c>
      <c r="AI31" s="70" t="s">
        <v>94</v>
      </c>
      <c r="AJ31" s="17" t="s">
        <v>94</v>
      </c>
      <c r="AK31" s="17" t="s">
        <v>95</v>
      </c>
      <c r="AL31" s="17" t="s">
        <v>94</v>
      </c>
      <c r="AM31" s="17" t="s">
        <v>94</v>
      </c>
      <c r="AN31" s="17" t="s">
        <v>94</v>
      </c>
      <c r="AO31" s="17" t="s">
        <v>98</v>
      </c>
      <c r="AP31" s="17" t="s">
        <v>98</v>
      </c>
      <c r="AQ31" s="17" t="s">
        <v>98</v>
      </c>
      <c r="AR31" s="17" t="s">
        <v>94</v>
      </c>
      <c r="AS31" s="17" t="s">
        <v>458</v>
      </c>
      <c r="AT31" s="17">
        <v>135</v>
      </c>
      <c r="AU31" s="30" t="s">
        <v>459</v>
      </c>
      <c r="AV31" s="14">
        <v>1396</v>
      </c>
      <c r="AW31" s="74"/>
      <c r="AX31" s="1"/>
      <c r="AY31" s="17" t="s">
        <v>101</v>
      </c>
    </row>
    <row r="32" spans="1:51" ht="12.75" customHeight="1" x14ac:dyDescent="0.25">
      <c r="A32" s="5">
        <v>31</v>
      </c>
      <c r="B32" s="9">
        <v>31</v>
      </c>
      <c r="C32" s="9" t="s">
        <v>460</v>
      </c>
      <c r="D32" s="57" t="str">
        <f>HYPERLINK("http://prodenv.dep.state.fl.us/DepNexus/public/electronic-documents/OG_31/facility!search","OG_31_Docs")</f>
        <v>OG_31_Docs</v>
      </c>
      <c r="E32" s="57" t="str">
        <f>HYPERLINK("https://ca.dep.state.fl.us/mapdirect/?focus=oilandgas&amp;zoom=query&amp;querytype=oilandgas&amp;queryvalues=OG_31","OG_31_Map")</f>
        <v>OG_31_Map</v>
      </c>
      <c r="F32" s="1" t="s">
        <v>175</v>
      </c>
      <c r="G32" s="1" t="s">
        <v>79</v>
      </c>
      <c r="H32" s="1" t="s">
        <v>176</v>
      </c>
      <c r="I32" s="1" t="s">
        <v>461</v>
      </c>
      <c r="J32" s="17" t="s">
        <v>82</v>
      </c>
      <c r="K32" s="17" t="s">
        <v>83</v>
      </c>
      <c r="L32" s="17" t="s">
        <v>101</v>
      </c>
      <c r="M32" s="17" t="s">
        <v>101</v>
      </c>
      <c r="N32" s="52" t="s">
        <v>193</v>
      </c>
      <c r="O32" s="17" t="s">
        <v>86</v>
      </c>
      <c r="P32" s="17" t="s">
        <v>86</v>
      </c>
      <c r="Q32" s="81" t="s">
        <v>462</v>
      </c>
      <c r="R32" s="11">
        <v>27.790894999999999</v>
      </c>
      <c r="S32" s="11">
        <v>-80.9786</v>
      </c>
      <c r="T32" s="11" t="s">
        <v>463</v>
      </c>
      <c r="U32" s="11" t="s">
        <v>464</v>
      </c>
      <c r="V32" s="17" t="s">
        <v>465</v>
      </c>
      <c r="W32" s="17" t="s">
        <v>110</v>
      </c>
      <c r="X32" s="70">
        <v>95</v>
      </c>
      <c r="Y32" s="70">
        <v>75</v>
      </c>
      <c r="Z32" s="13">
        <v>17013</v>
      </c>
      <c r="AA32" s="13">
        <v>17017</v>
      </c>
      <c r="AB32" s="13">
        <v>17158</v>
      </c>
      <c r="AC32" s="13">
        <v>17742</v>
      </c>
      <c r="AD32" s="86">
        <v>8781</v>
      </c>
      <c r="AE32" s="86">
        <v>8781</v>
      </c>
      <c r="AF32" s="70" t="s">
        <v>466</v>
      </c>
      <c r="AG32" s="17" t="s">
        <v>467</v>
      </c>
      <c r="AH32" s="17" t="s">
        <v>468</v>
      </c>
      <c r="AI32" s="70" t="s">
        <v>94</v>
      </c>
      <c r="AJ32" s="17" t="s">
        <v>94</v>
      </c>
      <c r="AK32" s="17" t="s">
        <v>95</v>
      </c>
      <c r="AL32" s="17" t="s">
        <v>469</v>
      </c>
      <c r="AM32" s="17" t="s">
        <v>95</v>
      </c>
      <c r="AN32" s="17" t="s">
        <v>470</v>
      </c>
      <c r="AO32" s="17" t="s">
        <v>98</v>
      </c>
      <c r="AP32" s="17" t="s">
        <v>98</v>
      </c>
      <c r="AQ32" s="17" t="s">
        <v>98</v>
      </c>
      <c r="AR32" s="17" t="s">
        <v>94</v>
      </c>
      <c r="AS32" s="17" t="s">
        <v>471</v>
      </c>
      <c r="AT32" s="17">
        <v>125</v>
      </c>
      <c r="AU32" s="30" t="s">
        <v>472</v>
      </c>
      <c r="AV32" s="14">
        <v>1411</v>
      </c>
      <c r="AW32" s="74"/>
      <c r="AX32" s="1"/>
      <c r="AY32" s="17" t="s">
        <v>101</v>
      </c>
    </row>
    <row r="33" spans="1:51" ht="12.75" customHeight="1" x14ac:dyDescent="0.25">
      <c r="A33" s="5">
        <v>32</v>
      </c>
      <c r="B33" s="9">
        <v>32</v>
      </c>
      <c r="C33" s="9" t="s">
        <v>473</v>
      </c>
      <c r="D33" s="57" t="str">
        <f>HYPERLINK("http://prodenv.dep.state.fl.us/DepNexus/public/electronic-documents/OG_32/facility!search","OG_32_Docs")</f>
        <v>OG_32_Docs</v>
      </c>
      <c r="E33" s="57" t="str">
        <f>HYPERLINK("https://ca.dep.state.fl.us/mapdirect/?focus=oilandgas&amp;zoom=query&amp;querytype=oilandgas&amp;queryvalues=OG_32","OG_32_Map")</f>
        <v>OG_32_Map</v>
      </c>
      <c r="F33" s="1" t="s">
        <v>191</v>
      </c>
      <c r="G33" s="1" t="s">
        <v>79</v>
      </c>
      <c r="H33" s="1" t="s">
        <v>104</v>
      </c>
      <c r="I33" s="1" t="s">
        <v>474</v>
      </c>
      <c r="J33" s="17" t="s">
        <v>82</v>
      </c>
      <c r="K33" s="17" t="s">
        <v>83</v>
      </c>
      <c r="L33" s="17"/>
      <c r="M33" s="17"/>
      <c r="N33" s="52" t="s">
        <v>193</v>
      </c>
      <c r="O33" s="17" t="s">
        <v>86</v>
      </c>
      <c r="P33" s="17" t="s">
        <v>86</v>
      </c>
      <c r="Q33" s="81" t="s">
        <v>475</v>
      </c>
      <c r="R33" s="11">
        <v>29.813033999999998</v>
      </c>
      <c r="S33" s="11">
        <v>-84.827499000000003</v>
      </c>
      <c r="T33" s="11" t="s">
        <v>476</v>
      </c>
      <c r="U33" s="11" t="s">
        <v>477</v>
      </c>
      <c r="V33" s="17" t="s">
        <v>478</v>
      </c>
      <c r="W33" s="17" t="s">
        <v>110</v>
      </c>
      <c r="X33" s="70">
        <v>15</v>
      </c>
      <c r="Y33" s="70">
        <v>6</v>
      </c>
      <c r="Z33" s="13">
        <v>17041</v>
      </c>
      <c r="AA33" s="13">
        <v>17046</v>
      </c>
      <c r="AB33" s="13">
        <v>17075</v>
      </c>
      <c r="AC33" s="13">
        <v>17076</v>
      </c>
      <c r="AD33" s="86">
        <v>5060</v>
      </c>
      <c r="AE33" s="86">
        <v>5060</v>
      </c>
      <c r="AF33" s="70" t="s">
        <v>479</v>
      </c>
      <c r="AG33" s="17" t="s">
        <v>480</v>
      </c>
      <c r="AH33" s="17" t="s">
        <v>481</v>
      </c>
      <c r="AI33" s="70" t="s">
        <v>482</v>
      </c>
      <c r="AJ33" s="17" t="s">
        <v>94</v>
      </c>
      <c r="AK33" s="17" t="s">
        <v>95</v>
      </c>
      <c r="AL33" s="17" t="s">
        <v>94</v>
      </c>
      <c r="AM33" s="17" t="s">
        <v>94</v>
      </c>
      <c r="AN33" s="17" t="s">
        <v>94</v>
      </c>
      <c r="AO33" s="17" t="s">
        <v>98</v>
      </c>
      <c r="AP33" s="17" t="s">
        <v>98</v>
      </c>
      <c r="AQ33" s="17" t="s">
        <v>98</v>
      </c>
      <c r="AR33" s="17" t="s">
        <v>94</v>
      </c>
      <c r="AS33" s="17" t="s">
        <v>483</v>
      </c>
      <c r="AT33" s="17" t="s">
        <v>94</v>
      </c>
      <c r="AU33" s="30" t="s">
        <v>484</v>
      </c>
      <c r="AV33" s="14">
        <v>1412</v>
      </c>
      <c r="AW33" s="74"/>
      <c r="AX33" s="1"/>
      <c r="AY33" s="17" t="s">
        <v>101</v>
      </c>
    </row>
    <row r="34" spans="1:51" ht="12.75" customHeight="1" x14ac:dyDescent="0.25">
      <c r="A34" s="5">
        <v>33</v>
      </c>
      <c r="B34" s="9">
        <v>33</v>
      </c>
      <c r="C34" s="9" t="s">
        <v>485</v>
      </c>
      <c r="D34" s="57" t="str">
        <f>HYPERLINK("http://prodenv.dep.state.fl.us/DepNexus/public/electronic-documents/OG_33/facility!search","OG_33_Docs")</f>
        <v>OG_33_Docs</v>
      </c>
      <c r="E34" s="57" t="str">
        <f>HYPERLINK("https://ca.dep.state.fl.us/mapdirect/?focus=oilandgas&amp;zoom=query&amp;querytype=oilandgas&amp;queryvalues=OG_33","OG_33_Map")</f>
        <v>OG_33_Map</v>
      </c>
      <c r="F34" s="1" t="s">
        <v>486</v>
      </c>
      <c r="G34" s="1" t="s">
        <v>79</v>
      </c>
      <c r="H34" s="1" t="s">
        <v>487</v>
      </c>
      <c r="I34" s="1" t="s">
        <v>488</v>
      </c>
      <c r="J34" s="17" t="s">
        <v>82</v>
      </c>
      <c r="K34" s="17" t="s">
        <v>83</v>
      </c>
      <c r="L34" s="17"/>
      <c r="M34" s="17" t="s">
        <v>101</v>
      </c>
      <c r="N34" s="52" t="s">
        <v>130</v>
      </c>
      <c r="O34" s="17" t="s">
        <v>86</v>
      </c>
      <c r="P34" s="17" t="s">
        <v>86</v>
      </c>
      <c r="Q34" s="81" t="s">
        <v>489</v>
      </c>
      <c r="R34" s="11">
        <v>30.611246999999999</v>
      </c>
      <c r="S34" s="11">
        <v>-84.373379</v>
      </c>
      <c r="T34" s="11" t="s">
        <v>490</v>
      </c>
      <c r="U34" s="11" t="s">
        <v>491</v>
      </c>
      <c r="V34" s="17" t="s">
        <v>492</v>
      </c>
      <c r="W34" s="17" t="s">
        <v>110</v>
      </c>
      <c r="X34" s="70"/>
      <c r="Y34" s="70">
        <v>150</v>
      </c>
      <c r="Z34" s="13">
        <v>17084</v>
      </c>
      <c r="AA34" s="13">
        <v>17084</v>
      </c>
      <c r="AB34" s="13">
        <v>17244</v>
      </c>
      <c r="AC34" s="13">
        <v>17244</v>
      </c>
      <c r="AD34" s="86">
        <v>4010</v>
      </c>
      <c r="AE34" s="86">
        <v>4010</v>
      </c>
      <c r="AF34" s="70" t="s">
        <v>493</v>
      </c>
      <c r="AG34" s="17" t="s">
        <v>494</v>
      </c>
      <c r="AH34" s="17" t="s">
        <v>94</v>
      </c>
      <c r="AI34" s="70" t="s">
        <v>94</v>
      </c>
      <c r="AJ34" s="17" t="s">
        <v>94</v>
      </c>
      <c r="AK34" s="17" t="s">
        <v>95</v>
      </c>
      <c r="AL34" s="17" t="s">
        <v>495</v>
      </c>
      <c r="AM34" s="17" t="s">
        <v>94</v>
      </c>
      <c r="AN34" s="17" t="s">
        <v>94</v>
      </c>
      <c r="AO34" s="17" t="s">
        <v>98</v>
      </c>
      <c r="AP34" s="17" t="s">
        <v>98</v>
      </c>
      <c r="AQ34" s="17" t="s">
        <v>98</v>
      </c>
      <c r="AR34" s="17" t="s">
        <v>94</v>
      </c>
      <c r="AS34" s="17" t="s">
        <v>496</v>
      </c>
      <c r="AT34" s="17">
        <v>108</v>
      </c>
      <c r="AU34" s="30" t="s">
        <v>497</v>
      </c>
      <c r="AV34" s="14">
        <v>1467</v>
      </c>
      <c r="AW34" s="74"/>
      <c r="AX34" s="1"/>
      <c r="AY34" s="17" t="s">
        <v>101</v>
      </c>
    </row>
    <row r="35" spans="1:51" ht="12.75" customHeight="1" x14ac:dyDescent="0.25">
      <c r="A35" s="5">
        <v>34</v>
      </c>
      <c r="B35" s="9">
        <v>34</v>
      </c>
      <c r="C35" s="9" t="s">
        <v>498</v>
      </c>
      <c r="D35" s="57" t="str">
        <f>HYPERLINK("http://prodenv.dep.state.fl.us/DepNexus/public/electronic-documents/OG_34/facility!search","OG_34_Docs")</f>
        <v>OG_34_Docs</v>
      </c>
      <c r="E35" s="57" t="str">
        <f>HYPERLINK("https://ca.dep.state.fl.us/mapdirect/?focus=oilandgas&amp;zoom=query&amp;querytype=oilandgas&amp;queryvalues=OG_34","OG_34_Map")</f>
        <v>OG_34_Map</v>
      </c>
      <c r="F35" s="1" t="s">
        <v>499</v>
      </c>
      <c r="G35" s="1" t="s">
        <v>79</v>
      </c>
      <c r="H35" s="1" t="s">
        <v>176</v>
      </c>
      <c r="I35" s="1" t="s">
        <v>500</v>
      </c>
      <c r="J35" s="17" t="s">
        <v>82</v>
      </c>
      <c r="K35" s="17" t="s">
        <v>83</v>
      </c>
      <c r="L35" s="17"/>
      <c r="M35" s="17"/>
      <c r="N35" s="52" t="s">
        <v>86</v>
      </c>
      <c r="O35" s="17" t="s">
        <v>86</v>
      </c>
      <c r="P35" s="17" t="s">
        <v>86</v>
      </c>
      <c r="Q35" s="81" t="s">
        <v>501</v>
      </c>
      <c r="R35" s="11">
        <v>29.563497000000002</v>
      </c>
      <c r="S35" s="11">
        <v>-81.497191999999998</v>
      </c>
      <c r="T35" s="11" t="s">
        <v>502</v>
      </c>
      <c r="U35" s="11" t="s">
        <v>503</v>
      </c>
      <c r="V35" s="17" t="s">
        <v>504</v>
      </c>
      <c r="W35" s="17" t="s">
        <v>110</v>
      </c>
      <c r="X35" s="70"/>
      <c r="Y35" s="70"/>
      <c r="Z35" s="13">
        <v>17048</v>
      </c>
      <c r="AA35" s="13">
        <v>17102</v>
      </c>
      <c r="AB35" s="13">
        <v>17117</v>
      </c>
      <c r="AC35" s="13">
        <v>17119</v>
      </c>
      <c r="AD35" s="86">
        <v>1822</v>
      </c>
      <c r="AE35" s="86">
        <v>1822</v>
      </c>
      <c r="AF35" s="70" t="s">
        <v>505</v>
      </c>
      <c r="AG35" s="17" t="s">
        <v>94</v>
      </c>
      <c r="AH35" s="17" t="s">
        <v>94</v>
      </c>
      <c r="AI35" s="70" t="s">
        <v>94</v>
      </c>
      <c r="AJ35" s="17" t="s">
        <v>94</v>
      </c>
      <c r="AK35" s="17" t="s">
        <v>95</v>
      </c>
      <c r="AL35" s="17" t="s">
        <v>94</v>
      </c>
      <c r="AM35" s="17" t="s">
        <v>94</v>
      </c>
      <c r="AN35" s="17" t="s">
        <v>94</v>
      </c>
      <c r="AO35" s="17" t="s">
        <v>98</v>
      </c>
      <c r="AP35" s="17" t="s">
        <v>98</v>
      </c>
      <c r="AQ35" s="17" t="s">
        <v>98</v>
      </c>
      <c r="AR35" s="17" t="s">
        <v>94</v>
      </c>
      <c r="AS35" s="17" t="s">
        <v>506</v>
      </c>
      <c r="AT35" s="17"/>
      <c r="AU35" s="30" t="s">
        <v>507</v>
      </c>
      <c r="AV35" s="14">
        <v>1440</v>
      </c>
      <c r="AW35" s="74"/>
      <c r="AX35" s="1" t="s">
        <v>508</v>
      </c>
      <c r="AY35" s="17" t="s">
        <v>101</v>
      </c>
    </row>
    <row r="36" spans="1:51" ht="15" customHeight="1" x14ac:dyDescent="0.25">
      <c r="A36" s="5">
        <v>35</v>
      </c>
      <c r="B36" s="9">
        <v>35</v>
      </c>
      <c r="C36" s="9" t="s">
        <v>509</v>
      </c>
      <c r="D36" s="57" t="str">
        <f>HYPERLINK("http://prodenv.dep.state.fl.us/DepNexus/public/electronic-documents/OG_35/facility!search","OG_35_Docs")</f>
        <v>OG_35_Docs</v>
      </c>
      <c r="E36" s="57" t="str">
        <f>HYPERLINK("https://ca.dep.state.fl.us/mapdirect/?focus=oilandgas&amp;zoom=query&amp;querytype=oilandgas&amp;queryvalues=OG_35","OG_35_Map")</f>
        <v>OG_35_Map</v>
      </c>
      <c r="F36" s="1" t="s">
        <v>265</v>
      </c>
      <c r="G36" s="1" t="s">
        <v>266</v>
      </c>
      <c r="H36" s="1" t="s">
        <v>176</v>
      </c>
      <c r="I36" s="1" t="s">
        <v>510</v>
      </c>
      <c r="J36" s="17" t="s">
        <v>268</v>
      </c>
      <c r="K36" s="17" t="s">
        <v>412</v>
      </c>
      <c r="L36" s="17"/>
      <c r="M36" s="17"/>
      <c r="N36" s="52" t="s">
        <v>193</v>
      </c>
      <c r="O36" s="17" t="s">
        <v>270</v>
      </c>
      <c r="P36" s="17" t="s">
        <v>86</v>
      </c>
      <c r="Q36" s="81" t="s">
        <v>511</v>
      </c>
      <c r="R36" s="11">
        <v>26.290555999999999</v>
      </c>
      <c r="S36" s="11">
        <v>-81.340485000000001</v>
      </c>
      <c r="T36" s="11" t="s">
        <v>512</v>
      </c>
      <c r="U36" s="11" t="s">
        <v>513</v>
      </c>
      <c r="V36" s="17" t="s">
        <v>514</v>
      </c>
      <c r="W36" s="17" t="s">
        <v>110</v>
      </c>
      <c r="X36" s="70">
        <v>36.6</v>
      </c>
      <c r="Y36" s="70">
        <v>21.2</v>
      </c>
      <c r="Z36" s="13">
        <v>17062</v>
      </c>
      <c r="AA36" s="13">
        <v>16359</v>
      </c>
      <c r="AB36" s="13">
        <v>16605</v>
      </c>
      <c r="AC36" s="13">
        <v>20870</v>
      </c>
      <c r="AD36" s="86">
        <v>11597</v>
      </c>
      <c r="AE36" s="86">
        <v>11597</v>
      </c>
      <c r="AF36" s="70" t="s">
        <v>515</v>
      </c>
      <c r="AG36" s="17" t="s">
        <v>516</v>
      </c>
      <c r="AH36" s="17" t="s">
        <v>517</v>
      </c>
      <c r="AI36" s="70" t="s">
        <v>518</v>
      </c>
      <c r="AJ36" s="17" t="s">
        <v>519</v>
      </c>
      <c r="AK36" s="17" t="s">
        <v>95</v>
      </c>
      <c r="AL36" s="17" t="s">
        <v>520</v>
      </c>
      <c r="AM36" s="17" t="s">
        <v>94</v>
      </c>
      <c r="AN36" s="17" t="s">
        <v>521</v>
      </c>
      <c r="AO36" s="17" t="s">
        <v>522</v>
      </c>
      <c r="AP36" s="17" t="s">
        <v>523</v>
      </c>
      <c r="AQ36" s="17">
        <v>0.18</v>
      </c>
      <c r="AR36" s="17" t="s">
        <v>524</v>
      </c>
      <c r="AS36" s="17" t="s">
        <v>525</v>
      </c>
      <c r="AT36" s="17"/>
      <c r="AU36" s="30" t="s">
        <v>526</v>
      </c>
      <c r="AV36" s="14">
        <v>949</v>
      </c>
      <c r="AW36" s="74"/>
      <c r="AX36" s="1"/>
      <c r="AY36" s="17" t="s">
        <v>101</v>
      </c>
    </row>
    <row r="37" spans="1:51" ht="12.75" customHeight="1" x14ac:dyDescent="0.25">
      <c r="A37" s="5">
        <v>36</v>
      </c>
      <c r="B37" s="9">
        <v>36</v>
      </c>
      <c r="C37" s="9" t="s">
        <v>527</v>
      </c>
      <c r="D37" s="57" t="str">
        <f>HYPERLINK("http://prodenv.dep.state.fl.us/DepNexus/public/electronic-documents/OG_36/facility!search","OG_36_Docs")</f>
        <v>OG_36_Docs</v>
      </c>
      <c r="E37" s="57" t="str">
        <f>HYPERLINK("https://ca.dep.state.fl.us/mapdirect/?focus=oilandgas&amp;zoom=query&amp;querytype=oilandgas&amp;queryvalues=OG_36","OG_36_Map")</f>
        <v>OG_36_Map</v>
      </c>
      <c r="F37" s="1" t="s">
        <v>215</v>
      </c>
      <c r="G37" s="1" t="s">
        <v>79</v>
      </c>
      <c r="H37" s="1" t="s">
        <v>128</v>
      </c>
      <c r="I37" s="1" t="s">
        <v>528</v>
      </c>
      <c r="J37" s="17" t="s">
        <v>82</v>
      </c>
      <c r="K37" s="17" t="s">
        <v>83</v>
      </c>
      <c r="L37" s="17"/>
      <c r="M37" s="17" t="s">
        <v>84</v>
      </c>
      <c r="N37" s="52" t="s">
        <v>85</v>
      </c>
      <c r="O37" s="17" t="s">
        <v>86</v>
      </c>
      <c r="P37" s="17" t="s">
        <v>86</v>
      </c>
      <c r="Q37" s="81" t="s">
        <v>529</v>
      </c>
      <c r="R37" s="11">
        <v>29.800702000000001</v>
      </c>
      <c r="S37" s="11">
        <v>-82.940039999999996</v>
      </c>
      <c r="T37" s="11" t="s">
        <v>530</v>
      </c>
      <c r="U37" s="11" t="s">
        <v>531</v>
      </c>
      <c r="V37" s="17" t="s">
        <v>246</v>
      </c>
      <c r="W37" s="17" t="s">
        <v>110</v>
      </c>
      <c r="X37" s="70">
        <v>33.299999999999997</v>
      </c>
      <c r="Y37" s="70">
        <v>25</v>
      </c>
      <c r="Z37" s="13">
        <v>17062</v>
      </c>
      <c r="AA37" s="13">
        <v>17074</v>
      </c>
      <c r="AB37" s="13">
        <v>17116</v>
      </c>
      <c r="AC37" s="13">
        <v>17120</v>
      </c>
      <c r="AD37" s="86">
        <v>3671</v>
      </c>
      <c r="AE37" s="86">
        <v>3671</v>
      </c>
      <c r="AF37" s="70" t="s">
        <v>532</v>
      </c>
      <c r="AG37" s="17" t="s">
        <v>533</v>
      </c>
      <c r="AH37" s="17" t="s">
        <v>94</v>
      </c>
      <c r="AI37" s="70" t="s">
        <v>94</v>
      </c>
      <c r="AJ37" s="17" t="s">
        <v>94</v>
      </c>
      <c r="AK37" s="17" t="s">
        <v>95</v>
      </c>
      <c r="AL37" s="17" t="s">
        <v>534</v>
      </c>
      <c r="AM37" s="17" t="s">
        <v>95</v>
      </c>
      <c r="AN37" s="17" t="s">
        <v>535</v>
      </c>
      <c r="AO37" s="17" t="s">
        <v>98</v>
      </c>
      <c r="AP37" s="17" t="s">
        <v>98</v>
      </c>
      <c r="AQ37" s="17" t="s">
        <v>98</v>
      </c>
      <c r="AR37" s="17" t="s">
        <v>94</v>
      </c>
      <c r="AS37" s="17" t="s">
        <v>536</v>
      </c>
      <c r="AT37" s="17"/>
      <c r="AU37" s="30" t="s">
        <v>537</v>
      </c>
      <c r="AV37" s="14">
        <v>1405</v>
      </c>
      <c r="AW37" s="74"/>
      <c r="AX37" s="1"/>
      <c r="AY37" s="17" t="s">
        <v>101</v>
      </c>
    </row>
    <row r="38" spans="1:51" ht="12.75" customHeight="1" x14ac:dyDescent="0.25">
      <c r="A38" s="5">
        <v>37</v>
      </c>
      <c r="B38" s="9">
        <v>37</v>
      </c>
      <c r="C38" s="9" t="s">
        <v>538</v>
      </c>
      <c r="D38" s="57" t="str">
        <f>HYPERLINK("http://prodenv.dep.state.fl.us/DepNexus/public/electronic-documents/OG_37/facility!search","OG_37_Docs")</f>
        <v>OG_37_Docs</v>
      </c>
      <c r="E38" s="57" t="str">
        <f>HYPERLINK("https://ca.dep.state.fl.us/mapdirect/?focus=oilandgas&amp;zoom=query&amp;querytype=oilandgas&amp;queryvalues=OG_37","OG_37_Map")</f>
        <v>OG_37_Map</v>
      </c>
      <c r="F38" s="1" t="s">
        <v>539</v>
      </c>
      <c r="G38" s="1" t="s">
        <v>79</v>
      </c>
      <c r="H38" s="1" t="s">
        <v>104</v>
      </c>
      <c r="I38" s="1" t="s">
        <v>540</v>
      </c>
      <c r="J38" s="17" t="s">
        <v>82</v>
      </c>
      <c r="K38" s="17" t="s">
        <v>83</v>
      </c>
      <c r="L38" s="17"/>
      <c r="M38" s="17"/>
      <c r="N38" s="52" t="s">
        <v>85</v>
      </c>
      <c r="O38" s="17" t="s">
        <v>86</v>
      </c>
      <c r="P38" s="17" t="s">
        <v>86</v>
      </c>
      <c r="Q38" s="81" t="s">
        <v>541</v>
      </c>
      <c r="R38" s="11">
        <v>29.712904999999999</v>
      </c>
      <c r="S38" s="11">
        <v>-85.300483</v>
      </c>
      <c r="T38" s="11" t="s">
        <v>542</v>
      </c>
      <c r="U38" s="11" t="s">
        <v>543</v>
      </c>
      <c r="V38" s="17" t="s">
        <v>544</v>
      </c>
      <c r="W38" s="17" t="s">
        <v>110</v>
      </c>
      <c r="X38" s="70">
        <v>14</v>
      </c>
      <c r="Y38" s="70">
        <v>4.76</v>
      </c>
      <c r="Z38" s="13">
        <v>17084</v>
      </c>
      <c r="AA38" s="13">
        <v>17091</v>
      </c>
      <c r="AB38" s="13">
        <v>17117</v>
      </c>
      <c r="AC38" s="13">
        <v>17120</v>
      </c>
      <c r="AD38" s="86">
        <v>5656</v>
      </c>
      <c r="AE38" s="86">
        <v>5656</v>
      </c>
      <c r="AF38" s="71" t="s">
        <v>122</v>
      </c>
      <c r="AG38" s="17" t="s">
        <v>545</v>
      </c>
      <c r="AH38" s="17" t="s">
        <v>94</v>
      </c>
      <c r="AI38" s="70" t="s">
        <v>94</v>
      </c>
      <c r="AJ38" s="17" t="s">
        <v>94</v>
      </c>
      <c r="AK38" s="17" t="s">
        <v>95</v>
      </c>
      <c r="AL38" s="17" t="s">
        <v>94</v>
      </c>
      <c r="AM38" s="17" t="s">
        <v>94</v>
      </c>
      <c r="AN38" s="17" t="s">
        <v>94</v>
      </c>
      <c r="AO38" s="17" t="s">
        <v>98</v>
      </c>
      <c r="AP38" s="17" t="s">
        <v>98</v>
      </c>
      <c r="AQ38" s="17" t="s">
        <v>98</v>
      </c>
      <c r="AR38" s="17" t="s">
        <v>94</v>
      </c>
      <c r="AS38" s="17" t="s">
        <v>546</v>
      </c>
      <c r="AT38" s="17">
        <v>144</v>
      </c>
      <c r="AU38" s="30" t="s">
        <v>547</v>
      </c>
      <c r="AV38" s="14">
        <v>1455</v>
      </c>
      <c r="AW38" s="74"/>
      <c r="AX38" s="1"/>
      <c r="AY38" s="17" t="s">
        <v>101</v>
      </c>
    </row>
    <row r="39" spans="1:51" ht="15" customHeight="1" x14ac:dyDescent="0.25">
      <c r="A39" s="5">
        <v>38</v>
      </c>
      <c r="B39" s="9">
        <v>38</v>
      </c>
      <c r="C39" s="9" t="s">
        <v>548</v>
      </c>
      <c r="D39" s="57" t="str">
        <f>HYPERLINK("http://prodenv.dep.state.fl.us/DepNexus/public/electronic-documents/OG_38/facility!search","OG_38_Docs")</f>
        <v>OG_38_Docs</v>
      </c>
      <c r="E39" s="57" t="str">
        <f>HYPERLINK("https://ca.dep.state.fl.us/mapdirect/?focus=oilandgas&amp;zoom=query&amp;querytype=oilandgas&amp;queryvalues=OG_38","OG_38_Map")</f>
        <v>OG_38_Map</v>
      </c>
      <c r="F39" s="1" t="s">
        <v>265</v>
      </c>
      <c r="G39" s="1" t="s">
        <v>266</v>
      </c>
      <c r="H39" s="1" t="s">
        <v>176</v>
      </c>
      <c r="I39" s="1" t="s">
        <v>549</v>
      </c>
      <c r="J39" s="17" t="s">
        <v>268</v>
      </c>
      <c r="K39" s="17" t="s">
        <v>412</v>
      </c>
      <c r="L39" s="17"/>
      <c r="M39" s="17"/>
      <c r="N39" s="52" t="s">
        <v>86</v>
      </c>
      <c r="O39" s="17" t="s">
        <v>270</v>
      </c>
      <c r="P39" s="17" t="s">
        <v>86</v>
      </c>
      <c r="Q39" s="81" t="s">
        <v>550</v>
      </c>
      <c r="R39" s="11">
        <v>26.285958000000001</v>
      </c>
      <c r="S39" s="11">
        <v>-81.371453000000002</v>
      </c>
      <c r="T39" s="11" t="s">
        <v>551</v>
      </c>
      <c r="U39" s="11" t="s">
        <v>552</v>
      </c>
      <c r="V39" s="17" t="s">
        <v>553</v>
      </c>
      <c r="W39" s="17" t="s">
        <v>110</v>
      </c>
      <c r="X39" s="70">
        <v>29</v>
      </c>
      <c r="Y39" s="70">
        <v>19</v>
      </c>
      <c r="Z39" s="13">
        <v>17098</v>
      </c>
      <c r="AA39" s="13">
        <v>17115</v>
      </c>
      <c r="AB39" s="13">
        <v>17280</v>
      </c>
      <c r="AC39" s="13">
        <v>17652</v>
      </c>
      <c r="AD39" s="86">
        <v>11595</v>
      </c>
      <c r="AE39" s="86">
        <v>11595</v>
      </c>
      <c r="AF39" s="70" t="s">
        <v>554</v>
      </c>
      <c r="AG39" s="17" t="s">
        <v>555</v>
      </c>
      <c r="AH39" s="17" t="s">
        <v>556</v>
      </c>
      <c r="AI39" s="71" t="s">
        <v>557</v>
      </c>
      <c r="AJ39" s="17" t="s">
        <v>94</v>
      </c>
      <c r="AK39" s="17" t="s">
        <v>95</v>
      </c>
      <c r="AL39" s="17" t="s">
        <v>558</v>
      </c>
      <c r="AM39" s="17" t="s">
        <v>94</v>
      </c>
      <c r="AN39" s="17" t="s">
        <v>559</v>
      </c>
      <c r="AO39" s="17" t="s">
        <v>560</v>
      </c>
      <c r="AP39" s="17" t="s">
        <v>94</v>
      </c>
      <c r="AQ39" s="17" t="s">
        <v>94</v>
      </c>
      <c r="AR39" s="17" t="s">
        <v>561</v>
      </c>
      <c r="AS39" s="17" t="s">
        <v>562</v>
      </c>
      <c r="AT39" s="17"/>
      <c r="AU39" s="30" t="s">
        <v>563</v>
      </c>
      <c r="AV39" s="14">
        <v>1463</v>
      </c>
      <c r="AW39" s="74"/>
      <c r="AX39" s="1"/>
      <c r="AY39" s="17" t="s">
        <v>101</v>
      </c>
    </row>
    <row r="40" spans="1:51" ht="12.75" customHeight="1" x14ac:dyDescent="0.25">
      <c r="A40" s="5">
        <v>39</v>
      </c>
      <c r="B40" s="9">
        <v>39</v>
      </c>
      <c r="C40" s="9" t="s">
        <v>564</v>
      </c>
      <c r="D40" s="57" t="str">
        <f>HYPERLINK("http://prodenv.dep.state.fl.us/DepNexus/public/electronic-documents/OG_39/facility!search","OG_39_Docs")</f>
        <v>OG_39_Docs</v>
      </c>
      <c r="E40" s="57" t="str">
        <f>HYPERLINK("https://ca.dep.state.fl.us/mapdirect/?focus=oilandgas&amp;zoom=query&amp;querytype=oilandgas&amp;queryvalues=OG_39","OG_39_Map")</f>
        <v>OG_39_Map</v>
      </c>
      <c r="F40" s="1" t="s">
        <v>265</v>
      </c>
      <c r="G40" s="1" t="s">
        <v>266</v>
      </c>
      <c r="H40" s="1" t="s">
        <v>176</v>
      </c>
      <c r="I40" s="1" t="s">
        <v>565</v>
      </c>
      <c r="J40" s="17" t="s">
        <v>82</v>
      </c>
      <c r="K40" s="17" t="s">
        <v>83</v>
      </c>
      <c r="L40" s="17"/>
      <c r="M40" s="17"/>
      <c r="N40" s="52" t="s">
        <v>86</v>
      </c>
      <c r="O40" s="17" t="s">
        <v>270</v>
      </c>
      <c r="P40" s="17" t="s">
        <v>86</v>
      </c>
      <c r="Q40" s="81" t="s">
        <v>305</v>
      </c>
      <c r="R40" s="11">
        <v>26.355065</v>
      </c>
      <c r="S40" s="11">
        <v>-81.422155000000004</v>
      </c>
      <c r="T40" s="11" t="s">
        <v>306</v>
      </c>
      <c r="U40" s="11" t="s">
        <v>307</v>
      </c>
      <c r="V40" s="17" t="s">
        <v>566</v>
      </c>
      <c r="W40" s="17" t="s">
        <v>110</v>
      </c>
      <c r="X40" s="70">
        <v>35</v>
      </c>
      <c r="Y40" s="70">
        <v>20.2</v>
      </c>
      <c r="Z40" s="13">
        <v>17120</v>
      </c>
      <c r="AA40" s="13">
        <v>17114</v>
      </c>
      <c r="AB40" s="13">
        <v>17148</v>
      </c>
      <c r="AC40" s="13">
        <v>17149</v>
      </c>
      <c r="AD40" s="86">
        <v>1175</v>
      </c>
      <c r="AE40" s="86">
        <v>1175</v>
      </c>
      <c r="AF40" s="70" t="s">
        <v>567</v>
      </c>
      <c r="AG40" s="17" t="s">
        <v>568</v>
      </c>
      <c r="AH40" s="17" t="s">
        <v>94</v>
      </c>
      <c r="AI40" s="70" t="s">
        <v>94</v>
      </c>
      <c r="AJ40" s="17" t="s">
        <v>94</v>
      </c>
      <c r="AK40" s="17" t="s">
        <v>95</v>
      </c>
      <c r="AL40" s="17" t="s">
        <v>94</v>
      </c>
      <c r="AM40" s="17" t="s">
        <v>94</v>
      </c>
      <c r="AN40" s="17" t="s">
        <v>94</v>
      </c>
      <c r="AO40" s="17" t="s">
        <v>98</v>
      </c>
      <c r="AP40" s="17" t="s">
        <v>98</v>
      </c>
      <c r="AQ40" s="17" t="s">
        <v>98</v>
      </c>
      <c r="AR40" s="17" t="s">
        <v>94</v>
      </c>
      <c r="AS40" s="17" t="s">
        <v>569</v>
      </c>
      <c r="AT40" s="17"/>
      <c r="AU40" s="30" t="s">
        <v>570</v>
      </c>
      <c r="AV40" s="14">
        <v>1484</v>
      </c>
      <c r="AW40" s="74"/>
      <c r="AX40" s="1"/>
      <c r="AY40" s="17" t="s">
        <v>101</v>
      </c>
    </row>
    <row r="41" spans="1:51" ht="12.75" customHeight="1" x14ac:dyDescent="0.25">
      <c r="A41" s="5">
        <v>40</v>
      </c>
      <c r="B41" s="9">
        <v>40</v>
      </c>
      <c r="C41" s="9" t="s">
        <v>571</v>
      </c>
      <c r="D41" s="57" t="str">
        <f>HYPERLINK("http://prodenv.dep.state.fl.us/DepNexus/public/electronic-documents/OG_40/facility!search","OG_40_Docs")</f>
        <v>OG_40_Docs</v>
      </c>
      <c r="E41" s="57" t="str">
        <f>HYPERLINK("https://ca.dep.state.fl.us/mapdirect/?focus=oilandgas&amp;zoom=query&amp;querytype=oilandgas&amp;queryvalues=OG_40","OG_40_Map")</f>
        <v>OG_40_Map</v>
      </c>
      <c r="F41" s="1" t="s">
        <v>539</v>
      </c>
      <c r="G41" s="1" t="s">
        <v>79</v>
      </c>
      <c r="H41" s="1" t="s">
        <v>104</v>
      </c>
      <c r="I41" s="1" t="s">
        <v>572</v>
      </c>
      <c r="J41" s="17" t="s">
        <v>82</v>
      </c>
      <c r="K41" s="17" t="s">
        <v>83</v>
      </c>
      <c r="L41" s="17"/>
      <c r="M41" s="17"/>
      <c r="N41" s="52" t="s">
        <v>193</v>
      </c>
      <c r="O41" s="17" t="s">
        <v>86</v>
      </c>
      <c r="P41" s="17" t="s">
        <v>86</v>
      </c>
      <c r="Q41" s="81" t="s">
        <v>573</v>
      </c>
      <c r="R41" s="11">
        <v>29.991754</v>
      </c>
      <c r="S41" s="11">
        <v>-85.332903999999999</v>
      </c>
      <c r="T41" s="11" t="s">
        <v>574</v>
      </c>
      <c r="U41" s="11" t="s">
        <v>575</v>
      </c>
      <c r="V41" s="17" t="s">
        <v>576</v>
      </c>
      <c r="W41" s="17" t="s">
        <v>110</v>
      </c>
      <c r="X41" s="70">
        <v>20</v>
      </c>
      <c r="Y41" s="70">
        <v>11.3</v>
      </c>
      <c r="Z41" s="13">
        <v>17120</v>
      </c>
      <c r="AA41" s="13">
        <v>17134</v>
      </c>
      <c r="AB41" s="13">
        <v>17153</v>
      </c>
      <c r="AC41" s="13">
        <v>17205</v>
      </c>
      <c r="AD41" s="86">
        <v>5025</v>
      </c>
      <c r="AE41" s="86">
        <v>5025</v>
      </c>
      <c r="AF41" s="71" t="s">
        <v>480</v>
      </c>
      <c r="AG41" s="17" t="s">
        <v>577</v>
      </c>
      <c r="AH41" s="17" t="s">
        <v>94</v>
      </c>
      <c r="AI41" s="70" t="s">
        <v>94</v>
      </c>
      <c r="AJ41" s="17" t="s">
        <v>94</v>
      </c>
      <c r="AK41" s="17" t="s">
        <v>95</v>
      </c>
      <c r="AL41" s="17" t="s">
        <v>94</v>
      </c>
      <c r="AM41" s="17" t="s">
        <v>94</v>
      </c>
      <c r="AN41" s="17" t="s">
        <v>94</v>
      </c>
      <c r="AO41" s="17" t="s">
        <v>98</v>
      </c>
      <c r="AP41" s="17" t="s">
        <v>98</v>
      </c>
      <c r="AQ41" s="17" t="s">
        <v>98</v>
      </c>
      <c r="AR41" s="17" t="s">
        <v>94</v>
      </c>
      <c r="AS41" s="17" t="s">
        <v>578</v>
      </c>
      <c r="AT41" s="17">
        <v>134</v>
      </c>
      <c r="AU41" s="30" t="s">
        <v>579</v>
      </c>
      <c r="AV41" s="14">
        <v>1462</v>
      </c>
      <c r="AW41" s="74"/>
      <c r="AX41" s="1"/>
      <c r="AY41" s="17" t="s">
        <v>101</v>
      </c>
    </row>
    <row r="42" spans="1:51" ht="12.75" customHeight="1" x14ac:dyDescent="0.25">
      <c r="A42" s="5">
        <v>41</v>
      </c>
      <c r="B42" s="9">
        <v>41</v>
      </c>
      <c r="C42" s="9" t="s">
        <v>580</v>
      </c>
      <c r="D42" s="57" t="str">
        <f>HYPERLINK("http://prodenv.dep.state.fl.us/DepNexus/public/electronic-documents/OG_41/facility!search","OG_41_Docs")</f>
        <v>OG_41_Docs</v>
      </c>
      <c r="E42" s="57" t="str">
        <f>HYPERLINK("https://ca.dep.state.fl.us/mapdirect/?focus=oilandgas&amp;zoom=query&amp;querytype=oilandgas&amp;queryvalues=OG_41","OG_41_Map")</f>
        <v>OG_41_Map</v>
      </c>
      <c r="F42" s="1" t="s">
        <v>581</v>
      </c>
      <c r="G42" s="1" t="s">
        <v>79</v>
      </c>
      <c r="H42" s="1" t="s">
        <v>582</v>
      </c>
      <c r="I42" s="1" t="s">
        <v>583</v>
      </c>
      <c r="J42" s="17" t="s">
        <v>82</v>
      </c>
      <c r="K42" s="17" t="s">
        <v>83</v>
      </c>
      <c r="L42" s="17"/>
      <c r="M42" s="17" t="s">
        <v>101</v>
      </c>
      <c r="N42" s="52" t="s">
        <v>193</v>
      </c>
      <c r="O42" s="17" t="s">
        <v>86</v>
      </c>
      <c r="P42" s="17" t="s">
        <v>86</v>
      </c>
      <c r="Q42" s="81" t="s">
        <v>584</v>
      </c>
      <c r="R42" s="11">
        <v>29.970929999999999</v>
      </c>
      <c r="S42" s="11">
        <v>-82.284126999999998</v>
      </c>
      <c r="T42" s="11" t="s">
        <v>585</v>
      </c>
      <c r="U42" s="11" t="s">
        <v>586</v>
      </c>
      <c r="V42" s="17" t="s">
        <v>352</v>
      </c>
      <c r="W42" s="17" t="s">
        <v>110</v>
      </c>
      <c r="X42" s="70">
        <v>141</v>
      </c>
      <c r="Y42" s="70">
        <v>130</v>
      </c>
      <c r="Z42" s="13">
        <v>17120</v>
      </c>
      <c r="AA42" s="13">
        <v>17136</v>
      </c>
      <c r="AB42" s="13">
        <v>17172</v>
      </c>
      <c r="AC42" s="13">
        <v>17172</v>
      </c>
      <c r="AD42" s="86">
        <v>3167</v>
      </c>
      <c r="AE42" s="86">
        <v>3167</v>
      </c>
      <c r="AF42" s="70" t="s">
        <v>587</v>
      </c>
      <c r="AG42" s="17" t="s">
        <v>588</v>
      </c>
      <c r="AH42" s="17" t="s">
        <v>94</v>
      </c>
      <c r="AI42" s="70" t="s">
        <v>94</v>
      </c>
      <c r="AJ42" s="17" t="s">
        <v>94</v>
      </c>
      <c r="AK42" s="17" t="s">
        <v>95</v>
      </c>
      <c r="AL42" s="17" t="s">
        <v>589</v>
      </c>
      <c r="AM42" s="17" t="s">
        <v>94</v>
      </c>
      <c r="AN42" s="17" t="s">
        <v>94</v>
      </c>
      <c r="AO42" s="17" t="s">
        <v>98</v>
      </c>
      <c r="AP42" s="17" t="s">
        <v>98</v>
      </c>
      <c r="AQ42" s="17" t="s">
        <v>98</v>
      </c>
      <c r="AR42" s="17" t="s">
        <v>94</v>
      </c>
      <c r="AS42" s="17" t="s">
        <v>590</v>
      </c>
      <c r="AT42" s="17"/>
      <c r="AU42" s="30" t="s">
        <v>591</v>
      </c>
      <c r="AV42" s="14">
        <v>1466</v>
      </c>
      <c r="AW42" s="74"/>
      <c r="AX42" s="1"/>
      <c r="AY42" s="17" t="s">
        <v>101</v>
      </c>
    </row>
    <row r="43" spans="1:51" ht="15" customHeight="1" x14ac:dyDescent="0.25">
      <c r="A43" s="5">
        <v>42</v>
      </c>
      <c r="B43" s="9">
        <v>42</v>
      </c>
      <c r="C43" s="9" t="s">
        <v>592</v>
      </c>
      <c r="D43" s="57" t="str">
        <f>HYPERLINK("http://prodenv.dep.state.fl.us/DepNexus/public/electronic-documents/OG_42/facility!search","OG_42_Docs")</f>
        <v>OG_42_Docs</v>
      </c>
      <c r="E43" s="57" t="str">
        <f>HYPERLINK("https://ca.dep.state.fl.us/mapdirect/?focus=oilandgas&amp;zoom=query&amp;querytype=oilandgas&amp;queryvalues=OG_42","OG_42_Map")</f>
        <v>OG_42_Map</v>
      </c>
      <c r="F43" s="1" t="s">
        <v>265</v>
      </c>
      <c r="G43" s="1" t="s">
        <v>266</v>
      </c>
      <c r="H43" s="1" t="s">
        <v>176</v>
      </c>
      <c r="I43" s="1" t="s">
        <v>593</v>
      </c>
      <c r="J43" s="17" t="s">
        <v>268</v>
      </c>
      <c r="K43" s="17" t="s">
        <v>269</v>
      </c>
      <c r="L43" s="17"/>
      <c r="M43" s="17" t="s">
        <v>101</v>
      </c>
      <c r="N43" s="52" t="s">
        <v>193</v>
      </c>
      <c r="O43" s="17" t="s">
        <v>270</v>
      </c>
      <c r="P43" s="17" t="s">
        <v>86</v>
      </c>
      <c r="Q43" s="81" t="s">
        <v>594</v>
      </c>
      <c r="R43" s="11">
        <v>26.268628</v>
      </c>
      <c r="S43" s="11">
        <v>-81.340011000000004</v>
      </c>
      <c r="T43" s="11" t="s">
        <v>595</v>
      </c>
      <c r="U43" s="11" t="s">
        <v>596</v>
      </c>
      <c r="V43" s="17" t="s">
        <v>597</v>
      </c>
      <c r="W43" s="17" t="s">
        <v>110</v>
      </c>
      <c r="X43" s="70">
        <v>34</v>
      </c>
      <c r="Y43" s="70">
        <v>17</v>
      </c>
      <c r="Z43" s="13">
        <v>17132</v>
      </c>
      <c r="AA43" s="13">
        <v>15765</v>
      </c>
      <c r="AB43" s="13">
        <v>16042</v>
      </c>
      <c r="AC43" s="13">
        <v>24303</v>
      </c>
      <c r="AD43" s="86">
        <v>11626</v>
      </c>
      <c r="AE43" s="86">
        <v>11626</v>
      </c>
      <c r="AF43" s="70" t="s">
        <v>598</v>
      </c>
      <c r="AG43" s="23" t="s">
        <v>599</v>
      </c>
      <c r="AH43" s="17" t="s">
        <v>600</v>
      </c>
      <c r="AI43" s="70" t="s">
        <v>601</v>
      </c>
      <c r="AJ43" s="17" t="s">
        <v>94</v>
      </c>
      <c r="AK43" s="17" t="s">
        <v>94</v>
      </c>
      <c r="AL43" s="17" t="s">
        <v>94</v>
      </c>
      <c r="AM43" s="17" t="s">
        <v>94</v>
      </c>
      <c r="AN43" s="17" t="s">
        <v>602</v>
      </c>
      <c r="AO43" s="17">
        <v>140</v>
      </c>
      <c r="AP43" s="17" t="s">
        <v>94</v>
      </c>
      <c r="AQ43" s="17">
        <v>400</v>
      </c>
      <c r="AR43" s="17" t="s">
        <v>94</v>
      </c>
      <c r="AS43" s="17" t="s">
        <v>603</v>
      </c>
      <c r="AT43" s="17">
        <v>227</v>
      </c>
      <c r="AU43" s="30" t="s">
        <v>604</v>
      </c>
      <c r="AV43" s="14">
        <v>820</v>
      </c>
      <c r="AW43" s="74"/>
      <c r="AX43" s="39" t="s">
        <v>605</v>
      </c>
      <c r="AY43" s="17" t="s">
        <v>101</v>
      </c>
    </row>
    <row r="44" spans="1:51" ht="12.75" customHeight="1" x14ac:dyDescent="0.25">
      <c r="A44" s="5">
        <v>43</v>
      </c>
      <c r="B44" s="9">
        <v>43</v>
      </c>
      <c r="C44" s="9" t="s">
        <v>606</v>
      </c>
      <c r="D44" s="57" t="str">
        <f>HYPERLINK("http://prodenv.dep.state.fl.us/DepNexus/public/electronic-documents/OG_43/facility!search","OG_43_Docs")</f>
        <v>OG_43_Docs</v>
      </c>
      <c r="E44" s="57" t="str">
        <f>HYPERLINK("https://ca.dep.state.fl.us/mapdirect/?focus=oilandgas&amp;zoom=query&amp;querytype=oilandgas&amp;queryvalues=OG_43","OG_43_Map")</f>
        <v>OG_43_Map</v>
      </c>
      <c r="F44" s="1" t="s">
        <v>191</v>
      </c>
      <c r="G44" s="1" t="s">
        <v>79</v>
      </c>
      <c r="H44" s="1" t="s">
        <v>607</v>
      </c>
      <c r="I44" s="1" t="s">
        <v>608</v>
      </c>
      <c r="J44" s="17" t="s">
        <v>82</v>
      </c>
      <c r="K44" s="17" t="s">
        <v>83</v>
      </c>
      <c r="L44" s="17"/>
      <c r="M44" s="17" t="s">
        <v>101</v>
      </c>
      <c r="N44" s="52" t="s">
        <v>85</v>
      </c>
      <c r="O44" s="17" t="s">
        <v>609</v>
      </c>
      <c r="P44" s="17" t="s">
        <v>86</v>
      </c>
      <c r="Q44" s="81" t="s">
        <v>609</v>
      </c>
      <c r="R44" s="11">
        <v>29.688661</v>
      </c>
      <c r="S44" s="11">
        <v>-85.120107000000004</v>
      </c>
      <c r="T44" s="11" t="s">
        <v>610</v>
      </c>
      <c r="U44" s="11" t="s">
        <v>611</v>
      </c>
      <c r="V44" s="17" t="s">
        <v>233</v>
      </c>
      <c r="W44" s="17" t="s">
        <v>110</v>
      </c>
      <c r="X44" s="70">
        <v>10</v>
      </c>
      <c r="Y44" s="70"/>
      <c r="Z44" s="13">
        <v>17146</v>
      </c>
      <c r="AA44" s="13">
        <v>17307</v>
      </c>
      <c r="AB44" s="13">
        <v>17384</v>
      </c>
      <c r="AC44" s="13">
        <v>17384</v>
      </c>
      <c r="AD44" s="86">
        <v>7021</v>
      </c>
      <c r="AE44" s="86">
        <v>7021</v>
      </c>
      <c r="AF44" s="70" t="s">
        <v>612</v>
      </c>
      <c r="AG44" s="17" t="s">
        <v>275</v>
      </c>
      <c r="AH44" s="17" t="s">
        <v>613</v>
      </c>
      <c r="AI44" s="70" t="s">
        <v>614</v>
      </c>
      <c r="AJ44" s="17" t="s">
        <v>94</v>
      </c>
      <c r="AK44" s="17" t="s">
        <v>95</v>
      </c>
      <c r="AL44" s="17" t="s">
        <v>615</v>
      </c>
      <c r="AM44" s="17" t="s">
        <v>95</v>
      </c>
      <c r="AN44" s="17" t="s">
        <v>94</v>
      </c>
      <c r="AO44" s="17" t="s">
        <v>98</v>
      </c>
      <c r="AP44" s="17" t="s">
        <v>98</v>
      </c>
      <c r="AQ44" s="17" t="s">
        <v>98</v>
      </c>
      <c r="AR44" s="17" t="s">
        <v>94</v>
      </c>
      <c r="AS44" s="17" t="s">
        <v>616</v>
      </c>
      <c r="AT44" s="17">
        <v>161</v>
      </c>
      <c r="AU44" s="30" t="s">
        <v>617</v>
      </c>
      <c r="AV44" s="14">
        <v>1502</v>
      </c>
      <c r="AW44" s="74"/>
      <c r="AX44" s="1" t="s">
        <v>618</v>
      </c>
      <c r="AY44" s="17" t="s">
        <v>101</v>
      </c>
    </row>
    <row r="45" spans="1:51" ht="12.75" customHeight="1" x14ac:dyDescent="0.25">
      <c r="A45" s="5">
        <v>44</v>
      </c>
      <c r="B45" s="9">
        <v>44</v>
      </c>
      <c r="C45" s="9" t="s">
        <v>619</v>
      </c>
      <c r="D45" s="57" t="str">
        <f>HYPERLINK("http://prodenv.dep.state.fl.us/DepNexus/public/electronic-documents/OG_44/facility!search","OG_44_Docs")</f>
        <v>OG_44_Docs</v>
      </c>
      <c r="E45" s="57" t="str">
        <f>HYPERLINK("https://ca.dep.state.fl.us/mapdirect/?focus=oilandgas&amp;zoom=query&amp;querytype=oilandgas&amp;queryvalues=OG_44","OG_44_Map")</f>
        <v>OG_44_Map</v>
      </c>
      <c r="F45" s="1" t="s">
        <v>499</v>
      </c>
      <c r="G45" s="1" t="s">
        <v>79</v>
      </c>
      <c r="H45" s="1" t="s">
        <v>176</v>
      </c>
      <c r="I45" s="1" t="s">
        <v>620</v>
      </c>
      <c r="J45" s="17" t="s">
        <v>82</v>
      </c>
      <c r="K45" s="17" t="s">
        <v>83</v>
      </c>
      <c r="L45" s="17"/>
      <c r="M45" s="17" t="s">
        <v>101</v>
      </c>
      <c r="N45" s="52" t="s">
        <v>193</v>
      </c>
      <c r="O45" s="17" t="s">
        <v>86</v>
      </c>
      <c r="P45" s="17" t="s">
        <v>86</v>
      </c>
      <c r="Q45" s="81" t="s">
        <v>621</v>
      </c>
      <c r="R45" s="11">
        <v>29.552512</v>
      </c>
      <c r="S45" s="11">
        <v>-81.499128999999996</v>
      </c>
      <c r="T45" s="11" t="s">
        <v>622</v>
      </c>
      <c r="U45" s="11" t="s">
        <v>623</v>
      </c>
      <c r="V45" s="17" t="s">
        <v>492</v>
      </c>
      <c r="W45" s="17" t="s">
        <v>110</v>
      </c>
      <c r="X45" s="70">
        <v>31.7</v>
      </c>
      <c r="Y45" s="70">
        <v>19.8</v>
      </c>
      <c r="Z45" s="13">
        <v>17146</v>
      </c>
      <c r="AA45" s="13">
        <v>17143</v>
      </c>
      <c r="AB45" s="13">
        <v>17225</v>
      </c>
      <c r="AC45" s="13">
        <v>17225</v>
      </c>
      <c r="AD45" s="86">
        <v>4644</v>
      </c>
      <c r="AE45" s="86">
        <v>4644</v>
      </c>
      <c r="AF45" s="70" t="s">
        <v>624</v>
      </c>
      <c r="AG45" s="17" t="s">
        <v>625</v>
      </c>
      <c r="AH45" s="23" t="s">
        <v>626</v>
      </c>
      <c r="AI45" s="70" t="s">
        <v>627</v>
      </c>
      <c r="AJ45" s="17" t="s">
        <v>94</v>
      </c>
      <c r="AK45" s="17" t="s">
        <v>95</v>
      </c>
      <c r="AL45" s="17" t="s">
        <v>628</v>
      </c>
      <c r="AM45" s="17" t="s">
        <v>95</v>
      </c>
      <c r="AN45" s="17" t="s">
        <v>629</v>
      </c>
      <c r="AO45" s="17" t="s">
        <v>98</v>
      </c>
      <c r="AP45" s="17" t="s">
        <v>94</v>
      </c>
      <c r="AQ45" s="17" t="s">
        <v>630</v>
      </c>
      <c r="AR45" s="17" t="s">
        <v>94</v>
      </c>
      <c r="AS45" s="17" t="s">
        <v>631</v>
      </c>
      <c r="AT45" s="17"/>
      <c r="AU45" s="30" t="s">
        <v>632</v>
      </c>
      <c r="AV45" s="14">
        <v>1473</v>
      </c>
      <c r="AW45" s="74"/>
      <c r="AX45" s="1"/>
      <c r="AY45" s="17" t="s">
        <v>101</v>
      </c>
    </row>
    <row r="46" spans="1:51" ht="12.75" customHeight="1" x14ac:dyDescent="0.25">
      <c r="A46" s="5">
        <v>45</v>
      </c>
      <c r="B46" s="9">
        <v>45</v>
      </c>
      <c r="C46" s="9" t="s">
        <v>633</v>
      </c>
      <c r="D46" s="57" t="str">
        <f>HYPERLINK("http://prodenv.dep.state.fl.us/DepNexus/public/electronic-documents/OG_45/facility!search","OG_45_Docs")</f>
        <v>OG_45_Docs</v>
      </c>
      <c r="E46" s="57" t="str">
        <f>HYPERLINK("https://ca.dep.state.fl.us/mapdirect/?focus=oilandgas&amp;zoom=query&amp;querytype=oilandgas&amp;queryvalues=OG_45","OG_45_Map")</f>
        <v>OG_45_Map</v>
      </c>
      <c r="F46" s="1" t="s">
        <v>634</v>
      </c>
      <c r="G46" s="1" t="s">
        <v>79</v>
      </c>
      <c r="H46" s="1" t="s">
        <v>128</v>
      </c>
      <c r="I46" s="1" t="s">
        <v>635</v>
      </c>
      <c r="J46" s="17" t="s">
        <v>82</v>
      </c>
      <c r="K46" s="17" t="s">
        <v>83</v>
      </c>
      <c r="L46" s="17"/>
      <c r="M46" s="17" t="s">
        <v>84</v>
      </c>
      <c r="N46" s="52" t="s">
        <v>636</v>
      </c>
      <c r="O46" s="17" t="s">
        <v>86</v>
      </c>
      <c r="P46" s="17" t="s">
        <v>86</v>
      </c>
      <c r="Q46" s="81" t="s">
        <v>637</v>
      </c>
      <c r="R46" s="11">
        <v>30.012687</v>
      </c>
      <c r="S46" s="11">
        <v>-82.846248000000003</v>
      </c>
      <c r="T46" s="11" t="s">
        <v>638</v>
      </c>
      <c r="U46" s="11" t="s">
        <v>639</v>
      </c>
      <c r="V46" s="17" t="s">
        <v>640</v>
      </c>
      <c r="W46" s="17" t="s">
        <v>110</v>
      </c>
      <c r="X46" s="70">
        <v>73</v>
      </c>
      <c r="Y46" s="70">
        <v>68</v>
      </c>
      <c r="Z46" s="13">
        <v>17153</v>
      </c>
      <c r="AA46" s="13">
        <v>17132</v>
      </c>
      <c r="AB46" s="13">
        <v>17172</v>
      </c>
      <c r="AC46" s="13">
        <v>17172</v>
      </c>
      <c r="AD46" s="86">
        <v>3157</v>
      </c>
      <c r="AE46" s="86">
        <v>3157</v>
      </c>
      <c r="AF46" s="70" t="s">
        <v>641</v>
      </c>
      <c r="AG46" s="17" t="s">
        <v>642</v>
      </c>
      <c r="AH46" s="17" t="s">
        <v>643</v>
      </c>
      <c r="AI46" s="70" t="s">
        <v>644</v>
      </c>
      <c r="AJ46" s="17" t="s">
        <v>94</v>
      </c>
      <c r="AK46" s="17" t="s">
        <v>95</v>
      </c>
      <c r="AL46" s="17" t="s">
        <v>645</v>
      </c>
      <c r="AM46" s="17" t="s">
        <v>95</v>
      </c>
      <c r="AN46" s="17" t="s">
        <v>94</v>
      </c>
      <c r="AO46" s="17" t="s">
        <v>98</v>
      </c>
      <c r="AP46" s="17" t="s">
        <v>98</v>
      </c>
      <c r="AQ46" s="17" t="s">
        <v>98</v>
      </c>
      <c r="AR46" s="17" t="s">
        <v>94</v>
      </c>
      <c r="AS46" s="17" t="s">
        <v>646</v>
      </c>
      <c r="AT46" s="17">
        <v>98</v>
      </c>
      <c r="AU46" s="30" t="s">
        <v>647</v>
      </c>
      <c r="AV46" s="14">
        <v>1450</v>
      </c>
      <c r="AW46" s="74"/>
      <c r="AX46" s="1"/>
      <c r="AY46" s="17" t="s">
        <v>101</v>
      </c>
    </row>
    <row r="47" spans="1:51" ht="12.75" customHeight="1" x14ac:dyDescent="0.25">
      <c r="A47" s="5">
        <v>46</v>
      </c>
      <c r="B47" s="9">
        <v>46</v>
      </c>
      <c r="C47" s="9" t="s">
        <v>648</v>
      </c>
      <c r="D47" s="57" t="str">
        <f>HYPERLINK("http://prodenv.dep.state.fl.us/DepNexus/public/electronic-documents/OG_46/facility!search","OG_46_Docs")</f>
        <v>OG_46_Docs</v>
      </c>
      <c r="E47" s="57" t="str">
        <f>HYPERLINK("https://ca.dep.state.fl.us/mapdirect/?focus=oilandgas&amp;zoom=query&amp;querytype=oilandgas&amp;queryvalues=OG_46","OG_46_Map")</f>
        <v>OG_46_Map</v>
      </c>
      <c r="F47" s="1" t="s">
        <v>265</v>
      </c>
      <c r="G47" s="1" t="s">
        <v>79</v>
      </c>
      <c r="H47" s="1" t="s">
        <v>176</v>
      </c>
      <c r="I47" s="1" t="s">
        <v>649</v>
      </c>
      <c r="J47" s="17" t="s">
        <v>82</v>
      </c>
      <c r="K47" s="17" t="s">
        <v>83</v>
      </c>
      <c r="L47" s="17"/>
      <c r="M47" s="17"/>
      <c r="N47" s="52" t="s">
        <v>86</v>
      </c>
      <c r="O47" s="17" t="s">
        <v>270</v>
      </c>
      <c r="P47" s="17" t="s">
        <v>86</v>
      </c>
      <c r="Q47" s="81" t="s">
        <v>305</v>
      </c>
      <c r="R47" s="11">
        <v>26.355045</v>
      </c>
      <c r="S47" s="11">
        <v>-81.418392999999995</v>
      </c>
      <c r="T47" s="11" t="s">
        <v>650</v>
      </c>
      <c r="U47" s="11" t="s">
        <v>651</v>
      </c>
      <c r="V47" s="17" t="s">
        <v>652</v>
      </c>
      <c r="W47" s="17" t="s">
        <v>110</v>
      </c>
      <c r="X47" s="70">
        <v>33</v>
      </c>
      <c r="Y47" s="70"/>
      <c r="Z47" s="13">
        <v>17153</v>
      </c>
      <c r="AA47" s="13">
        <v>17158</v>
      </c>
      <c r="AB47" s="13">
        <v>17333</v>
      </c>
      <c r="AC47" s="13">
        <v>17333</v>
      </c>
      <c r="AD47" s="86">
        <v>11943</v>
      </c>
      <c r="AE47" s="86">
        <v>11943</v>
      </c>
      <c r="AF47" s="70" t="s">
        <v>653</v>
      </c>
      <c r="AG47" s="17" t="s">
        <v>654</v>
      </c>
      <c r="AH47" s="17" t="s">
        <v>655</v>
      </c>
      <c r="AI47" s="70" t="s">
        <v>656</v>
      </c>
      <c r="AJ47" s="17" t="s">
        <v>94</v>
      </c>
      <c r="AK47" s="17" t="s">
        <v>95</v>
      </c>
      <c r="AL47" s="17" t="s">
        <v>657</v>
      </c>
      <c r="AM47" s="17" t="s">
        <v>94</v>
      </c>
      <c r="AN47" s="17" t="s">
        <v>658</v>
      </c>
      <c r="AO47" s="17" t="s">
        <v>659</v>
      </c>
      <c r="AP47" s="17" t="s">
        <v>94</v>
      </c>
      <c r="AQ47" s="17" t="s">
        <v>660</v>
      </c>
      <c r="AR47" s="17" t="s">
        <v>661</v>
      </c>
      <c r="AS47" s="17" t="s">
        <v>662</v>
      </c>
      <c r="AT47" s="17"/>
      <c r="AU47" s="30" t="s">
        <v>663</v>
      </c>
      <c r="AV47" s="14">
        <v>1485</v>
      </c>
      <c r="AW47" s="74"/>
      <c r="AX47" s="1"/>
      <c r="AY47" s="17" t="s">
        <v>101</v>
      </c>
    </row>
    <row r="48" spans="1:51" ht="12.75" customHeight="1" x14ac:dyDescent="0.25">
      <c r="A48" s="5">
        <v>47</v>
      </c>
      <c r="B48" s="9">
        <v>47</v>
      </c>
      <c r="C48" s="9" t="s">
        <v>664</v>
      </c>
      <c r="D48" s="57" t="str">
        <f>HYPERLINK("http://prodenv.dep.state.fl.us/DepNexus/public/electronic-documents/OG_47/facility!search","OG_47_Docs")</f>
        <v>OG_47_Docs</v>
      </c>
      <c r="E48" s="57" t="str">
        <f>HYPERLINK("https://ca.dep.state.fl.us/mapdirect/?focus=oilandgas&amp;zoom=query&amp;querytype=oilandgas&amp;queryvalues=OG_47","OG_47_Map")</f>
        <v>OG_47_Map</v>
      </c>
      <c r="F48" s="1" t="s">
        <v>665</v>
      </c>
      <c r="G48" s="1" t="s">
        <v>79</v>
      </c>
      <c r="H48" s="1" t="s">
        <v>176</v>
      </c>
      <c r="I48" s="1" t="s">
        <v>666</v>
      </c>
      <c r="J48" s="17" t="s">
        <v>82</v>
      </c>
      <c r="K48" s="17" t="s">
        <v>83</v>
      </c>
      <c r="L48" s="17"/>
      <c r="M48" s="17" t="s">
        <v>84</v>
      </c>
      <c r="N48" s="52" t="s">
        <v>193</v>
      </c>
      <c r="O48" s="17" t="s">
        <v>86</v>
      </c>
      <c r="P48" s="17" t="s">
        <v>86</v>
      </c>
      <c r="Q48" s="81" t="s">
        <v>667</v>
      </c>
      <c r="R48" s="11">
        <v>26.681135999999999</v>
      </c>
      <c r="S48" s="11">
        <v>-80.329396000000003</v>
      </c>
      <c r="T48" s="11" t="s">
        <v>668</v>
      </c>
      <c r="U48" s="11" t="s">
        <v>669</v>
      </c>
      <c r="V48" s="17" t="s">
        <v>670</v>
      </c>
      <c r="W48" s="17" t="s">
        <v>110</v>
      </c>
      <c r="X48" s="70">
        <v>34</v>
      </c>
      <c r="Y48" s="70"/>
      <c r="Z48" s="13">
        <v>17167</v>
      </c>
      <c r="AA48" s="13">
        <v>17188</v>
      </c>
      <c r="AB48" s="13">
        <v>17387</v>
      </c>
      <c r="AC48" s="13">
        <v>17387</v>
      </c>
      <c r="AD48" s="86">
        <v>13375</v>
      </c>
      <c r="AE48" s="86">
        <v>13375</v>
      </c>
      <c r="AF48" s="70" t="s">
        <v>671</v>
      </c>
      <c r="AG48" s="17" t="s">
        <v>672</v>
      </c>
      <c r="AH48" s="17" t="s">
        <v>673</v>
      </c>
      <c r="AI48" s="70" t="s">
        <v>674</v>
      </c>
      <c r="AJ48" s="17" t="s">
        <v>94</v>
      </c>
      <c r="AK48" s="17" t="s">
        <v>95</v>
      </c>
      <c r="AL48" s="17" t="s">
        <v>675</v>
      </c>
      <c r="AM48" s="17" t="s">
        <v>95</v>
      </c>
      <c r="AN48" s="17" t="s">
        <v>676</v>
      </c>
      <c r="AO48" s="17" t="s">
        <v>98</v>
      </c>
      <c r="AP48" s="17" t="s">
        <v>94</v>
      </c>
      <c r="AQ48" s="17" t="s">
        <v>677</v>
      </c>
      <c r="AR48" s="17" t="s">
        <v>94</v>
      </c>
      <c r="AS48" s="17" t="s">
        <v>678</v>
      </c>
      <c r="AT48" s="17">
        <v>160</v>
      </c>
      <c r="AU48" s="30" t="s">
        <v>679</v>
      </c>
      <c r="AV48" s="14">
        <v>1471</v>
      </c>
      <c r="AW48" s="74"/>
      <c r="AX48" s="1"/>
      <c r="AY48" s="17" t="s">
        <v>101</v>
      </c>
    </row>
    <row r="49" spans="1:51" ht="12.75" customHeight="1" x14ac:dyDescent="0.25">
      <c r="A49" s="5">
        <v>48</v>
      </c>
      <c r="B49" s="9">
        <v>48</v>
      </c>
      <c r="C49" s="9" t="s">
        <v>680</v>
      </c>
      <c r="D49" s="57" t="str">
        <f>HYPERLINK("http://prodenv.dep.state.fl.us/DepNexus/public/electronic-documents/OG_48/facility!search","OG_48_Docs")</f>
        <v>OG_48_Docs</v>
      </c>
      <c r="E49" s="57" t="str">
        <f>HYPERLINK("https://ca.dep.state.fl.us/mapdirect/?focus=oilandgas&amp;zoom=query&amp;querytype=oilandgas&amp;queryvalues=OG_48","OG_48_Map")</f>
        <v>OG_48_Map</v>
      </c>
      <c r="F49" s="1" t="s">
        <v>539</v>
      </c>
      <c r="G49" s="1" t="s">
        <v>79</v>
      </c>
      <c r="H49" s="1" t="s">
        <v>104</v>
      </c>
      <c r="I49" s="1" t="s">
        <v>681</v>
      </c>
      <c r="J49" s="17" t="s">
        <v>82</v>
      </c>
      <c r="K49" s="17" t="s">
        <v>83</v>
      </c>
      <c r="L49" s="17"/>
      <c r="M49" s="17"/>
      <c r="N49" s="52" t="s">
        <v>193</v>
      </c>
      <c r="O49" s="17" t="s">
        <v>86</v>
      </c>
      <c r="P49" s="17" t="s">
        <v>86</v>
      </c>
      <c r="Q49" s="81" t="s">
        <v>682</v>
      </c>
      <c r="R49" s="11">
        <v>30.099806000000001</v>
      </c>
      <c r="S49" s="11">
        <v>-85.301961000000006</v>
      </c>
      <c r="T49" s="11" t="s">
        <v>683</v>
      </c>
      <c r="U49" s="11" t="s">
        <v>684</v>
      </c>
      <c r="V49" s="17" t="s">
        <v>320</v>
      </c>
      <c r="W49" s="17" t="s">
        <v>110</v>
      </c>
      <c r="X49" s="70">
        <v>44</v>
      </c>
      <c r="Y49" s="70">
        <v>34.64</v>
      </c>
      <c r="Z49" s="13">
        <v>17174</v>
      </c>
      <c r="AA49" s="13">
        <v>17181</v>
      </c>
      <c r="AB49" s="13">
        <v>17196</v>
      </c>
      <c r="AC49" s="13">
        <v>17199</v>
      </c>
      <c r="AD49" s="86">
        <v>5069</v>
      </c>
      <c r="AE49" s="86">
        <v>5069</v>
      </c>
      <c r="AF49" s="70" t="s">
        <v>94</v>
      </c>
      <c r="AG49" s="17" t="s">
        <v>480</v>
      </c>
      <c r="AH49" s="17" t="s">
        <v>685</v>
      </c>
      <c r="AI49" s="70" t="s">
        <v>94</v>
      </c>
      <c r="AJ49" s="17" t="s">
        <v>94</v>
      </c>
      <c r="AK49" s="17" t="s">
        <v>95</v>
      </c>
      <c r="AL49" s="17" t="s">
        <v>94</v>
      </c>
      <c r="AM49" s="17" t="s">
        <v>94</v>
      </c>
      <c r="AN49" s="17" t="s">
        <v>94</v>
      </c>
      <c r="AO49" s="17" t="s">
        <v>98</v>
      </c>
      <c r="AP49" s="17" t="s">
        <v>98</v>
      </c>
      <c r="AQ49" s="17" t="s">
        <v>98</v>
      </c>
      <c r="AR49" s="17" t="s">
        <v>94</v>
      </c>
      <c r="AS49" s="17" t="s">
        <v>686</v>
      </c>
      <c r="AT49" s="17">
        <v>132</v>
      </c>
      <c r="AU49" s="30" t="s">
        <v>687</v>
      </c>
      <c r="AV49" s="14">
        <v>1468</v>
      </c>
      <c r="AW49" s="74"/>
      <c r="AX49" s="1"/>
      <c r="AY49" s="17" t="s">
        <v>101</v>
      </c>
    </row>
    <row r="50" spans="1:51" ht="12.75" customHeight="1" x14ac:dyDescent="0.25">
      <c r="A50" s="5">
        <v>49</v>
      </c>
      <c r="B50" s="9">
        <v>49</v>
      </c>
      <c r="C50" s="9" t="s">
        <v>688</v>
      </c>
      <c r="D50" s="57" t="str">
        <f>HYPERLINK("http://prodenv.dep.state.fl.us/DepNexus/public/electronic-documents/OG_49/facility!search","OG_49_Docs")</f>
        <v>OG_49_Docs</v>
      </c>
      <c r="E50" s="57" t="str">
        <f>HYPERLINK("https://ca.dep.state.fl.us/mapdirect/?focus=oilandgas&amp;zoom=query&amp;querytype=oilandgas&amp;queryvalues=OG_49","OG_49_Map")</f>
        <v>OG_49_Map</v>
      </c>
      <c r="F50" s="1" t="s">
        <v>689</v>
      </c>
      <c r="G50" s="1" t="s">
        <v>79</v>
      </c>
      <c r="H50" s="1" t="s">
        <v>582</v>
      </c>
      <c r="I50" s="1" t="s">
        <v>690</v>
      </c>
      <c r="J50" s="17" t="s">
        <v>82</v>
      </c>
      <c r="K50" s="17" t="s">
        <v>83</v>
      </c>
      <c r="L50" s="17"/>
      <c r="M50" s="17" t="s">
        <v>101</v>
      </c>
      <c r="N50" s="52" t="s">
        <v>85</v>
      </c>
      <c r="O50" s="17" t="s">
        <v>86</v>
      </c>
      <c r="P50" s="17" t="s">
        <v>86</v>
      </c>
      <c r="Q50" s="81" t="s">
        <v>691</v>
      </c>
      <c r="R50" s="11">
        <v>29.772604000000001</v>
      </c>
      <c r="S50" s="11">
        <v>-82.487469000000004</v>
      </c>
      <c r="T50" s="11" t="s">
        <v>692</v>
      </c>
      <c r="U50" s="11" t="s">
        <v>693</v>
      </c>
      <c r="V50" s="17" t="s">
        <v>492</v>
      </c>
      <c r="W50" s="17" t="s">
        <v>110</v>
      </c>
      <c r="X50" s="70">
        <v>112</v>
      </c>
      <c r="Y50" s="70">
        <v>102</v>
      </c>
      <c r="Z50" s="13">
        <v>17181</v>
      </c>
      <c r="AA50" s="13">
        <v>17183</v>
      </c>
      <c r="AB50" s="13">
        <v>17213</v>
      </c>
      <c r="AC50" s="13">
        <v>17212</v>
      </c>
      <c r="AD50" s="86">
        <v>3150</v>
      </c>
      <c r="AE50" s="86">
        <v>3150</v>
      </c>
      <c r="AF50" s="70" t="s">
        <v>694</v>
      </c>
      <c r="AG50" s="17" t="s">
        <v>695</v>
      </c>
      <c r="AH50" s="17" t="s">
        <v>94</v>
      </c>
      <c r="AI50" s="70" t="s">
        <v>94</v>
      </c>
      <c r="AJ50" s="17" t="s">
        <v>94</v>
      </c>
      <c r="AK50" s="17" t="s">
        <v>95</v>
      </c>
      <c r="AL50" s="17" t="s">
        <v>696</v>
      </c>
      <c r="AM50" s="17" t="s">
        <v>94</v>
      </c>
      <c r="AN50" s="17" t="s">
        <v>94</v>
      </c>
      <c r="AO50" s="17" t="s">
        <v>98</v>
      </c>
      <c r="AP50" s="17" t="s">
        <v>98</v>
      </c>
      <c r="AQ50" s="17" t="s">
        <v>98</v>
      </c>
      <c r="AR50" s="17" t="s">
        <v>94</v>
      </c>
      <c r="AS50" s="17" t="s">
        <v>697</v>
      </c>
      <c r="AT50" s="17"/>
      <c r="AU50" s="30" t="s">
        <v>698</v>
      </c>
      <c r="AV50" s="14">
        <v>1465</v>
      </c>
      <c r="AW50" s="74"/>
      <c r="AX50" s="1"/>
      <c r="AY50" s="17" t="s">
        <v>101</v>
      </c>
    </row>
    <row r="51" spans="1:51" ht="12.75" customHeight="1" x14ac:dyDescent="0.25">
      <c r="A51" s="5">
        <v>50</v>
      </c>
      <c r="B51" s="9">
        <v>50</v>
      </c>
      <c r="C51" s="9" t="s">
        <v>699</v>
      </c>
      <c r="D51" s="57" t="str">
        <f>HYPERLINK("http://prodenv.dep.state.fl.us/DepNexus/public/electronic-documents/OG_50/facility!search","OG_50_Docs")</f>
        <v>OG_50_Docs</v>
      </c>
      <c r="E51" s="57" t="str">
        <f>HYPERLINK("https://ca.dep.state.fl.us/mapdirect/?focus=oilandgas&amp;zoom=query&amp;querytype=oilandgas&amp;queryvalues=OG_50","OG_50_Map")</f>
        <v>OG_50_Map</v>
      </c>
      <c r="F51" s="1" t="s">
        <v>700</v>
      </c>
      <c r="G51" s="1" t="s">
        <v>79</v>
      </c>
      <c r="H51" s="1" t="s">
        <v>176</v>
      </c>
      <c r="I51" s="1" t="s">
        <v>701</v>
      </c>
      <c r="J51" s="17" t="s">
        <v>82</v>
      </c>
      <c r="K51" s="17" t="s">
        <v>83</v>
      </c>
      <c r="L51" s="17"/>
      <c r="M51" s="17" t="s">
        <v>101</v>
      </c>
      <c r="N51" s="52" t="s">
        <v>193</v>
      </c>
      <c r="O51" s="17" t="s">
        <v>86</v>
      </c>
      <c r="P51" s="17" t="s">
        <v>86</v>
      </c>
      <c r="Q51" s="81" t="s">
        <v>702</v>
      </c>
      <c r="R51" s="11">
        <v>30.002884999999999</v>
      </c>
      <c r="S51" s="11">
        <v>-81.808891000000003</v>
      </c>
      <c r="T51" s="11" t="s">
        <v>703</v>
      </c>
      <c r="U51" s="11" t="s">
        <v>704</v>
      </c>
      <c r="V51" s="17" t="s">
        <v>705</v>
      </c>
      <c r="W51" s="17" t="s">
        <v>110</v>
      </c>
      <c r="X51" s="70">
        <v>115</v>
      </c>
      <c r="Y51" s="70">
        <v>105.1</v>
      </c>
      <c r="Z51" s="13">
        <v>17195</v>
      </c>
      <c r="AA51" s="13">
        <v>17241</v>
      </c>
      <c r="AB51" s="13">
        <v>17391</v>
      </c>
      <c r="AC51" s="13">
        <v>17391</v>
      </c>
      <c r="AD51" s="86">
        <v>5862</v>
      </c>
      <c r="AE51" s="86">
        <v>5862</v>
      </c>
      <c r="AF51" s="70" t="s">
        <v>706</v>
      </c>
      <c r="AG51" s="17" t="s">
        <v>707</v>
      </c>
      <c r="AH51" s="17" t="s">
        <v>708</v>
      </c>
      <c r="AI51" s="70" t="s">
        <v>94</v>
      </c>
      <c r="AJ51" s="17" t="s">
        <v>94</v>
      </c>
      <c r="AK51" s="17" t="s">
        <v>95</v>
      </c>
      <c r="AL51" s="17" t="s">
        <v>709</v>
      </c>
      <c r="AM51" s="17" t="s">
        <v>94</v>
      </c>
      <c r="AN51" s="17" t="s">
        <v>94</v>
      </c>
      <c r="AO51" s="17" t="s">
        <v>98</v>
      </c>
      <c r="AP51" s="17" t="s">
        <v>98</v>
      </c>
      <c r="AQ51" s="17" t="s">
        <v>98</v>
      </c>
      <c r="AR51" s="17" t="s">
        <v>94</v>
      </c>
      <c r="AS51" s="17" t="s">
        <v>710</v>
      </c>
      <c r="AT51" s="17">
        <v>106</v>
      </c>
      <c r="AU51" s="30" t="s">
        <v>711</v>
      </c>
      <c r="AV51" s="14">
        <v>1590</v>
      </c>
      <c r="AW51" s="74"/>
      <c r="AX51" s="1"/>
      <c r="AY51" s="17" t="s">
        <v>101</v>
      </c>
    </row>
    <row r="52" spans="1:51" ht="15" customHeight="1" x14ac:dyDescent="0.25">
      <c r="A52" s="5">
        <v>51</v>
      </c>
      <c r="B52" s="9">
        <v>51</v>
      </c>
      <c r="C52" s="9" t="s">
        <v>712</v>
      </c>
      <c r="D52" s="57" t="str">
        <f>HYPERLINK("http://prodenv.dep.state.fl.us/DepNexus/public/electronic-documents/OG_51/facility!search","OG_51_Docs")</f>
        <v>OG_51_Docs</v>
      </c>
      <c r="E52" s="57" t="str">
        <f>HYPERLINK("https://ca.dep.state.fl.us/mapdirect/?focus=oilandgas&amp;zoom=query&amp;querytype=oilandgas&amp;queryvalues=OG_51","OG_51_Map")</f>
        <v>OG_51_Map</v>
      </c>
      <c r="F52" s="1" t="s">
        <v>265</v>
      </c>
      <c r="G52" s="1" t="s">
        <v>266</v>
      </c>
      <c r="H52" s="1" t="s">
        <v>176</v>
      </c>
      <c r="I52" s="1" t="s">
        <v>713</v>
      </c>
      <c r="J52" s="17" t="s">
        <v>268</v>
      </c>
      <c r="K52" s="17" t="s">
        <v>412</v>
      </c>
      <c r="L52" s="17"/>
      <c r="M52" s="17"/>
      <c r="N52" s="52" t="s">
        <v>86</v>
      </c>
      <c r="O52" s="17" t="s">
        <v>270</v>
      </c>
      <c r="P52" s="17" t="s">
        <v>86</v>
      </c>
      <c r="Q52" s="81" t="s">
        <v>714</v>
      </c>
      <c r="R52" s="11">
        <v>26.283028999999999</v>
      </c>
      <c r="S52" s="11">
        <v>-81.348958999999994</v>
      </c>
      <c r="T52" s="11" t="s">
        <v>715</v>
      </c>
      <c r="U52" s="11" t="s">
        <v>716</v>
      </c>
      <c r="V52" s="17" t="s">
        <v>320</v>
      </c>
      <c r="W52" s="17" t="s">
        <v>110</v>
      </c>
      <c r="X52" s="70"/>
      <c r="Y52" s="70">
        <v>17.64</v>
      </c>
      <c r="Z52" s="13">
        <v>17212</v>
      </c>
      <c r="AA52" s="13">
        <v>17228</v>
      </c>
      <c r="AB52" s="13">
        <v>17311</v>
      </c>
      <c r="AC52" s="13">
        <v>32393</v>
      </c>
      <c r="AD52" s="86">
        <v>11578</v>
      </c>
      <c r="AE52" s="86">
        <v>11578</v>
      </c>
      <c r="AF52" s="70" t="s">
        <v>554</v>
      </c>
      <c r="AG52" s="23" t="s">
        <v>717</v>
      </c>
      <c r="AH52" s="17" t="s">
        <v>718</v>
      </c>
      <c r="AI52" s="71" t="s">
        <v>719</v>
      </c>
      <c r="AJ52" s="23" t="s">
        <v>720</v>
      </c>
      <c r="AK52" s="17" t="s">
        <v>95</v>
      </c>
      <c r="AL52" s="17" t="s">
        <v>721</v>
      </c>
      <c r="AM52" s="17" t="s">
        <v>94</v>
      </c>
      <c r="AN52" s="17" t="s">
        <v>722</v>
      </c>
      <c r="AO52" s="17" t="s">
        <v>723</v>
      </c>
      <c r="AP52" s="17" t="s">
        <v>724</v>
      </c>
      <c r="AQ52" s="17" t="s">
        <v>725</v>
      </c>
      <c r="AR52" s="17" t="s">
        <v>722</v>
      </c>
      <c r="AS52" s="17" t="s">
        <v>726</v>
      </c>
      <c r="AT52" s="17"/>
      <c r="AU52" s="30" t="s">
        <v>727</v>
      </c>
      <c r="AV52" s="14">
        <v>1495</v>
      </c>
      <c r="AW52" s="74"/>
      <c r="AX52" s="1"/>
      <c r="AY52" s="17" t="s">
        <v>101</v>
      </c>
    </row>
    <row r="53" spans="1:51" ht="12.75" customHeight="1" x14ac:dyDescent="0.25">
      <c r="A53" s="5">
        <v>52</v>
      </c>
      <c r="B53" s="9">
        <v>52</v>
      </c>
      <c r="C53" s="9" t="s">
        <v>728</v>
      </c>
      <c r="D53" s="57" t="str">
        <f>HYPERLINK("http://prodenv.dep.state.fl.us/DepNexus/public/electronic-documents/OG_52/facility!search","OG_52_Docs")</f>
        <v>OG_52_Docs</v>
      </c>
      <c r="E53" s="57" t="str">
        <f>HYPERLINK("https://ca.dep.state.fl.us/mapdirect/?focus=oilandgas&amp;zoom=query&amp;querytype=oilandgas&amp;queryvalues=OG_52","OG_52_Map")</f>
        <v>OG_52_Map</v>
      </c>
      <c r="F53" s="1" t="s">
        <v>689</v>
      </c>
      <c r="G53" s="1" t="s">
        <v>79</v>
      </c>
      <c r="H53" s="1" t="s">
        <v>582</v>
      </c>
      <c r="I53" s="1" t="s">
        <v>729</v>
      </c>
      <c r="J53" s="17" t="s">
        <v>82</v>
      </c>
      <c r="K53" s="17" t="s">
        <v>83</v>
      </c>
      <c r="L53" s="17"/>
      <c r="M53" s="17" t="s">
        <v>101</v>
      </c>
      <c r="N53" s="52" t="s">
        <v>193</v>
      </c>
      <c r="O53" s="17" t="s">
        <v>86</v>
      </c>
      <c r="P53" s="17" t="s">
        <v>86</v>
      </c>
      <c r="Q53" s="81" t="s">
        <v>730</v>
      </c>
      <c r="R53" s="11">
        <v>29.696795000000002</v>
      </c>
      <c r="S53" s="11">
        <v>-82.161835999999994</v>
      </c>
      <c r="T53" s="11" t="s">
        <v>731</v>
      </c>
      <c r="U53" s="11" t="s">
        <v>732</v>
      </c>
      <c r="V53" s="17" t="s">
        <v>733</v>
      </c>
      <c r="W53" s="17" t="s">
        <v>110</v>
      </c>
      <c r="X53" s="70">
        <v>132</v>
      </c>
      <c r="Y53" s="70">
        <v>122</v>
      </c>
      <c r="Z53" s="13">
        <v>17223</v>
      </c>
      <c r="AA53" s="13">
        <v>17223</v>
      </c>
      <c r="AB53" s="13">
        <v>17259</v>
      </c>
      <c r="AC53" s="13">
        <v>17259</v>
      </c>
      <c r="AD53" s="86">
        <v>3228</v>
      </c>
      <c r="AE53" s="86">
        <v>3228</v>
      </c>
      <c r="AF53" s="70" t="s">
        <v>734</v>
      </c>
      <c r="AG53" s="17" t="s">
        <v>735</v>
      </c>
      <c r="AH53" s="17" t="s">
        <v>94</v>
      </c>
      <c r="AI53" s="70" t="s">
        <v>94</v>
      </c>
      <c r="AJ53" s="17" t="s">
        <v>94</v>
      </c>
      <c r="AK53" s="17" t="s">
        <v>95</v>
      </c>
      <c r="AL53" s="17" t="s">
        <v>736</v>
      </c>
      <c r="AM53" s="17" t="s">
        <v>94</v>
      </c>
      <c r="AN53" s="17" t="s">
        <v>86</v>
      </c>
      <c r="AO53" s="17" t="s">
        <v>98</v>
      </c>
      <c r="AP53" s="17" t="s">
        <v>98</v>
      </c>
      <c r="AQ53" s="17" t="s">
        <v>98</v>
      </c>
      <c r="AR53" s="17" t="s">
        <v>94</v>
      </c>
      <c r="AS53" s="17" t="s">
        <v>737</v>
      </c>
      <c r="AT53" s="17">
        <v>72</v>
      </c>
      <c r="AU53" s="30" t="s">
        <v>738</v>
      </c>
      <c r="AV53" s="14">
        <v>1472</v>
      </c>
      <c r="AW53" s="74"/>
      <c r="AX53" s="1"/>
      <c r="AY53" s="17" t="s">
        <v>101</v>
      </c>
    </row>
    <row r="54" spans="1:51" ht="12.75" customHeight="1" x14ac:dyDescent="0.25">
      <c r="A54" s="5">
        <v>53</v>
      </c>
      <c r="B54" s="9">
        <v>53</v>
      </c>
      <c r="C54" s="9" t="s">
        <v>739</v>
      </c>
      <c r="D54" s="57" t="str">
        <f>HYPERLINK("http://prodenv.dep.state.fl.us/DepNexus/public/electronic-documents/OG_53/facility!search","OG_53_Docs")</f>
        <v>OG_53_Docs</v>
      </c>
      <c r="E54" s="57" t="str">
        <f>HYPERLINK("https://ca.dep.state.fl.us/mapdirect/?focus=oilandgas&amp;zoom=query&amp;querytype=oilandgas&amp;queryvalues=OG_53","OG_53_Map")</f>
        <v>OG_53_Map</v>
      </c>
      <c r="F54" s="1" t="s">
        <v>740</v>
      </c>
      <c r="G54" s="1" t="s">
        <v>79</v>
      </c>
      <c r="H54" s="1" t="s">
        <v>128</v>
      </c>
      <c r="I54" s="1" t="s">
        <v>741</v>
      </c>
      <c r="J54" s="17" t="s">
        <v>82</v>
      </c>
      <c r="K54" s="17" t="s">
        <v>83</v>
      </c>
      <c r="L54" s="17"/>
      <c r="M54" s="17" t="s">
        <v>84</v>
      </c>
      <c r="N54" s="52" t="s">
        <v>85</v>
      </c>
      <c r="O54" s="17" t="s">
        <v>86</v>
      </c>
      <c r="P54" s="17" t="s">
        <v>86</v>
      </c>
      <c r="Q54" s="81" t="s">
        <v>742</v>
      </c>
      <c r="R54" s="11">
        <v>29.100455</v>
      </c>
      <c r="S54" s="11">
        <v>-82.010232999999999</v>
      </c>
      <c r="T54" s="11" t="s">
        <v>743</v>
      </c>
      <c r="U54" s="11" t="s">
        <v>744</v>
      </c>
      <c r="V54" s="17" t="s">
        <v>212</v>
      </c>
      <c r="W54" s="17" t="s">
        <v>110</v>
      </c>
      <c r="X54" s="70">
        <v>74</v>
      </c>
      <c r="Y54" s="70">
        <v>64</v>
      </c>
      <c r="Z54" s="13">
        <v>17237</v>
      </c>
      <c r="AA54" s="13">
        <v>17247</v>
      </c>
      <c r="AB54" s="13">
        <v>17307</v>
      </c>
      <c r="AC54" s="13">
        <v>17308</v>
      </c>
      <c r="AD54" s="86">
        <v>4637</v>
      </c>
      <c r="AE54" s="86">
        <v>4637</v>
      </c>
      <c r="AF54" s="70" t="s">
        <v>745</v>
      </c>
      <c r="AG54" s="17" t="s">
        <v>746</v>
      </c>
      <c r="AH54" s="17" t="s">
        <v>747</v>
      </c>
      <c r="AI54" s="70" t="s">
        <v>94</v>
      </c>
      <c r="AJ54" s="17" t="s">
        <v>94</v>
      </c>
      <c r="AK54" s="17" t="s">
        <v>95</v>
      </c>
      <c r="AL54" s="17" t="s">
        <v>748</v>
      </c>
      <c r="AM54" s="17" t="s">
        <v>94</v>
      </c>
      <c r="AN54" s="17" t="s">
        <v>749</v>
      </c>
      <c r="AO54" s="17" t="s">
        <v>98</v>
      </c>
      <c r="AP54" s="17" t="s">
        <v>98</v>
      </c>
      <c r="AQ54" s="17" t="s">
        <v>98</v>
      </c>
      <c r="AR54" s="17" t="s">
        <v>94</v>
      </c>
      <c r="AS54" s="17" t="s">
        <v>750</v>
      </c>
      <c r="AT54" s="17">
        <v>103</v>
      </c>
      <c r="AU54" s="30" t="s">
        <v>751</v>
      </c>
      <c r="AV54" s="14">
        <v>1482</v>
      </c>
      <c r="AW54" s="74"/>
      <c r="AX54" s="1"/>
      <c r="AY54" s="17" t="s">
        <v>101</v>
      </c>
    </row>
    <row r="55" spans="1:51" ht="12.75" customHeight="1" x14ac:dyDescent="0.25">
      <c r="A55" s="5">
        <v>54</v>
      </c>
      <c r="B55" s="9">
        <v>54</v>
      </c>
      <c r="C55" s="9" t="s">
        <v>752</v>
      </c>
      <c r="D55" s="57" t="str">
        <f>HYPERLINK("http://prodenv.dep.state.fl.us/DepNexus/public/electronic-documents/OG_54/facility!search","OG_54_Docs")</f>
        <v>OG_54_Docs</v>
      </c>
      <c r="E55" s="57" t="str">
        <f>HYPERLINK("https://ca.dep.state.fl.us/mapdirect/?focus=oilandgas&amp;zoom=query&amp;querytype=oilandgas&amp;queryvalues=OG_54","OG_54_Map")</f>
        <v>OG_54_Map</v>
      </c>
      <c r="F55" s="1" t="s">
        <v>689</v>
      </c>
      <c r="G55" s="1" t="s">
        <v>79</v>
      </c>
      <c r="H55" s="1" t="s">
        <v>582</v>
      </c>
      <c r="I55" s="1" t="s">
        <v>753</v>
      </c>
      <c r="J55" s="17" t="s">
        <v>82</v>
      </c>
      <c r="K55" s="17" t="s">
        <v>83</v>
      </c>
      <c r="L55" s="17"/>
      <c r="M55" s="17" t="s">
        <v>101</v>
      </c>
      <c r="N55" s="52" t="s">
        <v>85</v>
      </c>
      <c r="O55" s="17" t="s">
        <v>86</v>
      </c>
      <c r="P55" s="17" t="s">
        <v>86</v>
      </c>
      <c r="Q55" s="81" t="s">
        <v>754</v>
      </c>
      <c r="R55" s="11">
        <v>29.834235</v>
      </c>
      <c r="S55" s="11">
        <v>-82.416122000000001</v>
      </c>
      <c r="T55" s="11" t="s">
        <v>755</v>
      </c>
      <c r="U55" s="11" t="s">
        <v>756</v>
      </c>
      <c r="V55" s="17" t="s">
        <v>757</v>
      </c>
      <c r="W55" s="17" t="s">
        <v>110</v>
      </c>
      <c r="X55" s="70">
        <v>168</v>
      </c>
      <c r="Y55" s="70">
        <v>157.6</v>
      </c>
      <c r="Z55" s="13">
        <v>17272</v>
      </c>
      <c r="AA55" s="13">
        <v>17272</v>
      </c>
      <c r="AB55" s="13">
        <v>17298</v>
      </c>
      <c r="AC55" s="13">
        <v>17298</v>
      </c>
      <c r="AD55" s="86">
        <v>3220</v>
      </c>
      <c r="AE55" s="86">
        <v>3220</v>
      </c>
      <c r="AF55" s="70" t="s">
        <v>758</v>
      </c>
      <c r="AG55" s="17" t="s">
        <v>759</v>
      </c>
      <c r="AH55" s="17" t="s">
        <v>94</v>
      </c>
      <c r="AI55" s="70" t="s">
        <v>94</v>
      </c>
      <c r="AJ55" s="17" t="s">
        <v>94</v>
      </c>
      <c r="AK55" s="17" t="s">
        <v>95</v>
      </c>
      <c r="AL55" s="17" t="s">
        <v>760</v>
      </c>
      <c r="AM55" s="17" t="s">
        <v>95</v>
      </c>
      <c r="AN55" s="17" t="s">
        <v>86</v>
      </c>
      <c r="AO55" s="17" t="s">
        <v>98</v>
      </c>
      <c r="AP55" s="17" t="s">
        <v>98</v>
      </c>
      <c r="AQ55" s="17" t="s">
        <v>98</v>
      </c>
      <c r="AR55" s="17" t="s">
        <v>94</v>
      </c>
      <c r="AS55" s="17" t="s">
        <v>761</v>
      </c>
      <c r="AT55" s="17">
        <v>92</v>
      </c>
      <c r="AU55" s="30" t="s">
        <v>762</v>
      </c>
      <c r="AV55" s="14">
        <v>1486</v>
      </c>
      <c r="AW55" s="74"/>
      <c r="AX55" s="1"/>
      <c r="AY55" s="17" t="s">
        <v>101</v>
      </c>
    </row>
    <row r="56" spans="1:51" ht="15" customHeight="1" x14ac:dyDescent="0.25">
      <c r="A56" s="5">
        <v>55</v>
      </c>
      <c r="B56" s="9">
        <v>55</v>
      </c>
      <c r="C56" s="9" t="s">
        <v>763</v>
      </c>
      <c r="D56" s="57" t="str">
        <f>HYPERLINK("http://prodenv.dep.state.fl.us/DepNexus/public/electronic-documents/OG_55/facility!search","OG_55_Docs")</f>
        <v>OG_55_Docs</v>
      </c>
      <c r="E56" s="57" t="str">
        <f>HYPERLINK("https://ca.dep.state.fl.us/mapdirect/?focus=oilandgas&amp;zoom=query&amp;querytype=oilandgas&amp;queryvalues=OG_55","OG_55_Map")</f>
        <v>OG_55_Map</v>
      </c>
      <c r="F56" s="1" t="s">
        <v>265</v>
      </c>
      <c r="G56" s="1" t="s">
        <v>266</v>
      </c>
      <c r="H56" s="1" t="s">
        <v>176</v>
      </c>
      <c r="I56" s="1" t="s">
        <v>764</v>
      </c>
      <c r="J56" s="17" t="s">
        <v>268</v>
      </c>
      <c r="K56" s="17" t="s">
        <v>412</v>
      </c>
      <c r="L56" s="17"/>
      <c r="M56" s="17"/>
      <c r="N56" s="52" t="s">
        <v>193</v>
      </c>
      <c r="O56" s="17" t="s">
        <v>270</v>
      </c>
      <c r="P56" s="17" t="s">
        <v>86</v>
      </c>
      <c r="Q56" s="81" t="s">
        <v>765</v>
      </c>
      <c r="R56" s="11">
        <v>26.284804000000001</v>
      </c>
      <c r="S56" s="11">
        <v>-81.335955999999996</v>
      </c>
      <c r="T56" s="11" t="s">
        <v>766</v>
      </c>
      <c r="U56" s="11" t="s">
        <v>767</v>
      </c>
      <c r="V56" s="17" t="s">
        <v>768</v>
      </c>
      <c r="W56" s="17" t="s">
        <v>110</v>
      </c>
      <c r="X56" s="70">
        <v>30</v>
      </c>
      <c r="Y56" s="70">
        <v>18.27</v>
      </c>
      <c r="Z56" s="13">
        <v>17293</v>
      </c>
      <c r="AA56" s="13">
        <v>17472</v>
      </c>
      <c r="AB56" s="13">
        <v>17542</v>
      </c>
      <c r="AC56" s="13">
        <v>28285</v>
      </c>
      <c r="AD56" s="86">
        <v>11574</v>
      </c>
      <c r="AE56" s="86">
        <v>11574</v>
      </c>
      <c r="AF56" s="70" t="s">
        <v>769</v>
      </c>
      <c r="AG56" s="17" t="s">
        <v>770</v>
      </c>
      <c r="AH56" s="17" t="s">
        <v>771</v>
      </c>
      <c r="AI56" s="71" t="s">
        <v>772</v>
      </c>
      <c r="AJ56" s="23" t="s">
        <v>773</v>
      </c>
      <c r="AK56" s="17" t="s">
        <v>95</v>
      </c>
      <c r="AL56" s="17" t="s">
        <v>774</v>
      </c>
      <c r="AM56" s="17" t="s">
        <v>94</v>
      </c>
      <c r="AN56" s="17" t="s">
        <v>775</v>
      </c>
      <c r="AO56" s="17" t="s">
        <v>776</v>
      </c>
      <c r="AP56" s="17" t="s">
        <v>777</v>
      </c>
      <c r="AQ56" s="17" t="s">
        <v>778</v>
      </c>
      <c r="AR56" s="17" t="s">
        <v>779</v>
      </c>
      <c r="AS56" s="17" t="s">
        <v>780</v>
      </c>
      <c r="AT56" s="17"/>
      <c r="AU56" s="30" t="s">
        <v>781</v>
      </c>
      <c r="AV56" s="14">
        <v>1656</v>
      </c>
      <c r="AW56" s="74"/>
      <c r="AX56" s="1" t="s">
        <v>782</v>
      </c>
      <c r="AY56" s="17" t="s">
        <v>101</v>
      </c>
    </row>
    <row r="57" spans="1:51" ht="12.75" customHeight="1" x14ac:dyDescent="0.25">
      <c r="A57" s="5">
        <v>56</v>
      </c>
      <c r="B57" s="9">
        <v>56</v>
      </c>
      <c r="C57" s="9" t="s">
        <v>783</v>
      </c>
      <c r="D57" s="57" t="str">
        <f>HYPERLINK("http://prodenv.dep.state.fl.us/DepNexus/public/electronic-documents/OG_56/facility!search","OG_56_Docs")</f>
        <v>OG_56_Docs</v>
      </c>
      <c r="E57" s="57" t="str">
        <f>HYPERLINK("https://ca.dep.state.fl.us/mapdirect/?focus=oilandgas&amp;zoom=query&amp;querytype=oilandgas&amp;queryvalues=OG_56","OG_56_Map")</f>
        <v>OG_56_Map</v>
      </c>
      <c r="F57" s="1" t="s">
        <v>784</v>
      </c>
      <c r="G57" s="1" t="s">
        <v>79</v>
      </c>
      <c r="H57" s="1" t="s">
        <v>176</v>
      </c>
      <c r="I57" s="1" t="s">
        <v>785</v>
      </c>
      <c r="J57" s="17" t="s">
        <v>207</v>
      </c>
      <c r="K57" s="17" t="s">
        <v>208</v>
      </c>
      <c r="L57" s="17"/>
      <c r="M57" s="17" t="s">
        <v>207</v>
      </c>
      <c r="N57" s="52" t="s">
        <v>86</v>
      </c>
      <c r="O57" s="17" t="s">
        <v>86</v>
      </c>
      <c r="P57" s="17" t="s">
        <v>86</v>
      </c>
      <c r="Q57" s="81" t="s">
        <v>786</v>
      </c>
      <c r="R57" s="11">
        <v>30.188268000000001</v>
      </c>
      <c r="S57" s="11">
        <v>-82.164241000000004</v>
      </c>
      <c r="T57" s="11" t="s">
        <v>787</v>
      </c>
      <c r="U57" s="11" t="s">
        <v>788</v>
      </c>
      <c r="V57" s="17" t="s">
        <v>789</v>
      </c>
      <c r="W57" s="17" t="s">
        <v>110</v>
      </c>
      <c r="X57" s="70"/>
      <c r="Y57" s="70"/>
      <c r="Z57" s="13">
        <v>17293</v>
      </c>
      <c r="AA57" s="13"/>
      <c r="AB57" s="13"/>
      <c r="AC57" s="13"/>
      <c r="AD57" s="86"/>
      <c r="AE57" s="70"/>
      <c r="AF57" s="70" t="s">
        <v>207</v>
      </c>
      <c r="AG57" s="14" t="s">
        <v>207</v>
      </c>
      <c r="AH57" s="14" t="s">
        <v>207</v>
      </c>
      <c r="AI57" s="70" t="s">
        <v>207</v>
      </c>
      <c r="AJ57" s="14" t="s">
        <v>207</v>
      </c>
      <c r="AK57" s="14" t="s">
        <v>207</v>
      </c>
      <c r="AL57" s="14" t="s">
        <v>207</v>
      </c>
      <c r="AM57" s="14" t="s">
        <v>207</v>
      </c>
      <c r="AN57" s="14" t="s">
        <v>207</v>
      </c>
      <c r="AO57" s="14" t="s">
        <v>207</v>
      </c>
      <c r="AP57" s="14" t="s">
        <v>207</v>
      </c>
      <c r="AQ57" s="14" t="s">
        <v>207</v>
      </c>
      <c r="AR57" s="14" t="s">
        <v>207</v>
      </c>
      <c r="AS57" s="14" t="s">
        <v>207</v>
      </c>
      <c r="AT57" s="17"/>
      <c r="AU57" s="30" t="s">
        <v>790</v>
      </c>
      <c r="AV57" s="14" t="s">
        <v>207</v>
      </c>
      <c r="AW57" s="74"/>
      <c r="AX57" s="1"/>
      <c r="AY57" s="17" t="s">
        <v>101</v>
      </c>
    </row>
    <row r="58" spans="1:51" ht="12.75" customHeight="1" x14ac:dyDescent="0.25">
      <c r="A58" s="5">
        <v>57</v>
      </c>
      <c r="B58" s="9">
        <v>57</v>
      </c>
      <c r="C58" s="9" t="s">
        <v>791</v>
      </c>
      <c r="D58" s="57" t="str">
        <f>HYPERLINK("http://prodenv.dep.state.fl.us/DepNexus/public/electronic-documents/OG_57/facility!search","OG_57_Docs")</f>
        <v>OG_57_Docs</v>
      </c>
      <c r="E58" s="57" t="str">
        <f>HYPERLINK("https://ca.dep.state.fl.us/mapdirect/?focus=oilandgas&amp;zoom=query&amp;querytype=oilandgas&amp;queryvalues=OG_57","OG_57_Map")</f>
        <v>OG_57_Map</v>
      </c>
      <c r="F58" s="1" t="s">
        <v>634</v>
      </c>
      <c r="G58" s="1" t="s">
        <v>79</v>
      </c>
      <c r="H58" s="1" t="s">
        <v>128</v>
      </c>
      <c r="I58" s="1" t="s">
        <v>792</v>
      </c>
      <c r="J58" s="17" t="s">
        <v>82</v>
      </c>
      <c r="K58" s="17" t="s">
        <v>83</v>
      </c>
      <c r="L58" s="17"/>
      <c r="M58" s="17" t="s">
        <v>101</v>
      </c>
      <c r="N58" s="52" t="s">
        <v>130</v>
      </c>
      <c r="O58" s="17" t="s">
        <v>86</v>
      </c>
      <c r="P58" s="17" t="s">
        <v>86</v>
      </c>
      <c r="Q58" s="81" t="s">
        <v>793</v>
      </c>
      <c r="R58" s="11">
        <v>30.279733</v>
      </c>
      <c r="S58" s="11">
        <v>-82.821870000000004</v>
      </c>
      <c r="T58" s="11" t="s">
        <v>794</v>
      </c>
      <c r="U58" s="11" t="s">
        <v>795</v>
      </c>
      <c r="V58" s="17" t="s">
        <v>492</v>
      </c>
      <c r="W58" s="17" t="s">
        <v>110</v>
      </c>
      <c r="X58" s="70">
        <v>162</v>
      </c>
      <c r="Y58" s="70">
        <v>155</v>
      </c>
      <c r="Z58" s="13">
        <v>17307</v>
      </c>
      <c r="AA58" s="13">
        <v>17386</v>
      </c>
      <c r="AB58" s="13">
        <v>17411</v>
      </c>
      <c r="AC58" s="13">
        <v>17411</v>
      </c>
      <c r="AD58" s="86">
        <v>3568</v>
      </c>
      <c r="AE58" s="86">
        <v>3568</v>
      </c>
      <c r="AF58" s="70" t="s">
        <v>796</v>
      </c>
      <c r="AG58" s="17" t="s">
        <v>797</v>
      </c>
      <c r="AH58" s="17" t="s">
        <v>798</v>
      </c>
      <c r="AI58" s="70" t="s">
        <v>94</v>
      </c>
      <c r="AJ58" s="17" t="s">
        <v>94</v>
      </c>
      <c r="AK58" s="17" t="s">
        <v>95</v>
      </c>
      <c r="AL58" s="17" t="s">
        <v>799</v>
      </c>
      <c r="AM58" s="17" t="s">
        <v>94</v>
      </c>
      <c r="AN58" s="17" t="s">
        <v>800</v>
      </c>
      <c r="AO58" s="17" t="s">
        <v>98</v>
      </c>
      <c r="AP58" s="17" t="s">
        <v>98</v>
      </c>
      <c r="AQ58" s="17" t="s">
        <v>98</v>
      </c>
      <c r="AR58" s="17" t="s">
        <v>94</v>
      </c>
      <c r="AS58" s="17" t="s">
        <v>801</v>
      </c>
      <c r="AT58" s="17">
        <v>81</v>
      </c>
      <c r="AU58" s="30" t="s">
        <v>802</v>
      </c>
      <c r="AV58" s="14">
        <v>1548</v>
      </c>
      <c r="AW58" s="74"/>
      <c r="AX58" s="1"/>
      <c r="AY58" s="17" t="s">
        <v>101</v>
      </c>
    </row>
    <row r="59" spans="1:51" ht="12.75" customHeight="1" x14ac:dyDescent="0.25">
      <c r="A59" s="5">
        <v>58</v>
      </c>
      <c r="B59" s="9">
        <v>58</v>
      </c>
      <c r="C59" s="9" t="s">
        <v>803</v>
      </c>
      <c r="D59" s="57" t="str">
        <f>HYPERLINK("http://prodenv.dep.state.fl.us/DepNexus/public/electronic-documents/OG_58/facility!search","OG_58_Docs")</f>
        <v>OG_58_Docs</v>
      </c>
      <c r="E59" s="57" t="str">
        <f>HYPERLINK("https://ca.dep.state.fl.us/mapdirect/?focus=oilandgas&amp;zoom=query&amp;querytype=oilandgas&amp;queryvalues=OG_58","OG_58_Map")</f>
        <v>OG_58_Map</v>
      </c>
      <c r="F59" s="1" t="s">
        <v>804</v>
      </c>
      <c r="G59" s="1" t="s">
        <v>79</v>
      </c>
      <c r="H59" s="1" t="s">
        <v>128</v>
      </c>
      <c r="I59" s="1" t="s">
        <v>805</v>
      </c>
      <c r="J59" s="17" t="s">
        <v>82</v>
      </c>
      <c r="K59" s="17" t="s">
        <v>83</v>
      </c>
      <c r="L59" s="17"/>
      <c r="M59" s="17" t="s">
        <v>101</v>
      </c>
      <c r="N59" s="52" t="s">
        <v>85</v>
      </c>
      <c r="O59" s="17" t="s">
        <v>86</v>
      </c>
      <c r="P59" s="17" t="s">
        <v>86</v>
      </c>
      <c r="Q59" s="81" t="s">
        <v>806</v>
      </c>
      <c r="R59" s="11">
        <v>29.702562</v>
      </c>
      <c r="S59" s="11">
        <v>-81.843789000000001</v>
      </c>
      <c r="T59" s="11" t="s">
        <v>807</v>
      </c>
      <c r="U59" s="11" t="s">
        <v>808</v>
      </c>
      <c r="V59" s="17" t="s">
        <v>809</v>
      </c>
      <c r="W59" s="17" t="s">
        <v>110</v>
      </c>
      <c r="X59" s="70">
        <v>206</v>
      </c>
      <c r="Y59" s="70">
        <v>196</v>
      </c>
      <c r="Z59" s="13">
        <v>17314</v>
      </c>
      <c r="AA59" s="13">
        <v>17339</v>
      </c>
      <c r="AB59" s="13">
        <v>17371</v>
      </c>
      <c r="AC59" s="13">
        <v>17371</v>
      </c>
      <c r="AD59" s="86">
        <v>3327</v>
      </c>
      <c r="AE59" s="86">
        <v>3327</v>
      </c>
      <c r="AF59" s="70" t="s">
        <v>810</v>
      </c>
      <c r="AG59" s="17" t="s">
        <v>811</v>
      </c>
      <c r="AH59" s="17" t="s">
        <v>812</v>
      </c>
      <c r="AI59" s="70" t="s">
        <v>94</v>
      </c>
      <c r="AJ59" s="17" t="s">
        <v>94</v>
      </c>
      <c r="AK59" s="17" t="s">
        <v>95</v>
      </c>
      <c r="AL59" s="17" t="s">
        <v>813</v>
      </c>
      <c r="AM59" s="17" t="s">
        <v>94</v>
      </c>
      <c r="AN59" s="17" t="s">
        <v>94</v>
      </c>
      <c r="AO59" s="17" t="s">
        <v>98</v>
      </c>
      <c r="AP59" s="17" t="s">
        <v>98</v>
      </c>
      <c r="AQ59" s="17" t="s">
        <v>98</v>
      </c>
      <c r="AR59" s="17" t="s">
        <v>94</v>
      </c>
      <c r="AS59" s="17" t="s">
        <v>814</v>
      </c>
      <c r="AT59" s="17">
        <v>97</v>
      </c>
      <c r="AU59" s="30" t="s">
        <v>815</v>
      </c>
      <c r="AV59" s="14">
        <v>1514</v>
      </c>
      <c r="AW59" s="74"/>
      <c r="AX59" s="1"/>
      <c r="AY59" s="17" t="s">
        <v>101</v>
      </c>
    </row>
    <row r="60" spans="1:51" ht="12.75" customHeight="1" x14ac:dyDescent="0.25">
      <c r="A60" s="5">
        <v>59</v>
      </c>
      <c r="B60" s="9">
        <v>59</v>
      </c>
      <c r="C60" s="9" t="s">
        <v>816</v>
      </c>
      <c r="D60" s="57" t="str">
        <f>HYPERLINK("http://prodenv.dep.state.fl.us/DepNexus/public/electronic-documents/OG_59/facility!search","OG_59_Docs")</f>
        <v>OG_59_Docs</v>
      </c>
      <c r="E60" s="57" t="str">
        <f>HYPERLINK("https://ca.dep.state.fl.us/mapdirect/?focus=oilandgas&amp;zoom=query&amp;querytype=oilandgas&amp;queryvalues=OG_59","OG_59_Map")</f>
        <v>OG_59_Map</v>
      </c>
      <c r="F60" s="1" t="s">
        <v>784</v>
      </c>
      <c r="G60" s="1" t="s">
        <v>79</v>
      </c>
      <c r="H60" s="1" t="s">
        <v>817</v>
      </c>
      <c r="I60" s="1" t="s">
        <v>818</v>
      </c>
      <c r="J60" s="17" t="s">
        <v>82</v>
      </c>
      <c r="K60" s="17" t="s">
        <v>83</v>
      </c>
      <c r="L60" s="17"/>
      <c r="M60" s="17" t="s">
        <v>101</v>
      </c>
      <c r="N60" s="52" t="s">
        <v>193</v>
      </c>
      <c r="O60" s="17" t="s">
        <v>86</v>
      </c>
      <c r="P60" s="17" t="s">
        <v>86</v>
      </c>
      <c r="Q60" s="81" t="s">
        <v>819</v>
      </c>
      <c r="R60" s="11">
        <v>30.487072000000001</v>
      </c>
      <c r="S60" s="11">
        <v>-82.311591000000007</v>
      </c>
      <c r="T60" s="11" t="s">
        <v>820</v>
      </c>
      <c r="U60" s="11" t="s">
        <v>821</v>
      </c>
      <c r="V60" s="17" t="s">
        <v>504</v>
      </c>
      <c r="W60" s="17" t="s">
        <v>110</v>
      </c>
      <c r="X60" s="70">
        <v>130</v>
      </c>
      <c r="Y60" s="70">
        <v>124</v>
      </c>
      <c r="Z60" s="13">
        <v>17314</v>
      </c>
      <c r="AA60" s="13">
        <v>17309</v>
      </c>
      <c r="AB60" s="13">
        <v>17333</v>
      </c>
      <c r="AC60" s="13">
        <v>17333</v>
      </c>
      <c r="AD60" s="86">
        <v>3349</v>
      </c>
      <c r="AE60" s="86">
        <v>3349</v>
      </c>
      <c r="AF60" s="70" t="s">
        <v>822</v>
      </c>
      <c r="AG60" s="17" t="s">
        <v>823</v>
      </c>
      <c r="AH60" s="17" t="s">
        <v>94</v>
      </c>
      <c r="AI60" s="70" t="s">
        <v>94</v>
      </c>
      <c r="AJ60" s="17" t="s">
        <v>94</v>
      </c>
      <c r="AK60" s="17" t="s">
        <v>95</v>
      </c>
      <c r="AL60" s="17" t="s">
        <v>824</v>
      </c>
      <c r="AM60" s="17" t="s">
        <v>825</v>
      </c>
      <c r="AN60" s="17" t="s">
        <v>94</v>
      </c>
      <c r="AO60" s="17" t="s">
        <v>98</v>
      </c>
      <c r="AP60" s="17" t="s">
        <v>98</v>
      </c>
      <c r="AQ60" s="17" t="s">
        <v>98</v>
      </c>
      <c r="AR60" s="17" t="s">
        <v>94</v>
      </c>
      <c r="AS60" s="17" t="s">
        <v>826</v>
      </c>
      <c r="AT60" s="17">
        <v>103</v>
      </c>
      <c r="AU60" s="30" t="s">
        <v>827</v>
      </c>
      <c r="AV60" s="14">
        <v>1500</v>
      </c>
      <c r="AW60" s="74"/>
      <c r="AX60" s="1"/>
      <c r="AY60" s="17" t="s">
        <v>101</v>
      </c>
    </row>
    <row r="61" spans="1:51" ht="12.75" customHeight="1" x14ac:dyDescent="0.25">
      <c r="A61" s="5">
        <v>60</v>
      </c>
      <c r="B61" s="9">
        <v>60</v>
      </c>
      <c r="C61" s="9" t="s">
        <v>828</v>
      </c>
      <c r="D61" s="57" t="str">
        <f>HYPERLINK("http://prodenv.dep.state.fl.us/DepNexus/public/electronic-documents/OG_60/facility!search","OG_60_Docs")</f>
        <v>OG_60_Docs</v>
      </c>
      <c r="E61" s="57" t="str">
        <f>HYPERLINK("https://ca.dep.state.fl.us/mapdirect/?focus=oilandgas&amp;zoom=query&amp;querytype=oilandgas&amp;queryvalues=OG_60","OG_60_Map")</f>
        <v>OG_60_Map</v>
      </c>
      <c r="F61" s="1" t="s">
        <v>829</v>
      </c>
      <c r="G61" s="1" t="s">
        <v>79</v>
      </c>
      <c r="H61" s="1" t="s">
        <v>830</v>
      </c>
      <c r="I61" s="1" t="s">
        <v>831</v>
      </c>
      <c r="J61" s="17" t="s">
        <v>82</v>
      </c>
      <c r="K61" s="17" t="s">
        <v>83</v>
      </c>
      <c r="L61" s="17"/>
      <c r="M61" s="17" t="s">
        <v>101</v>
      </c>
      <c r="N61" s="52" t="s">
        <v>193</v>
      </c>
      <c r="O61" s="17" t="s">
        <v>86</v>
      </c>
      <c r="P61" s="17" t="s">
        <v>86</v>
      </c>
      <c r="Q61" s="81" t="s">
        <v>832</v>
      </c>
      <c r="R61" s="11">
        <v>30.87875</v>
      </c>
      <c r="S61" s="11">
        <v>-86.459361999999999</v>
      </c>
      <c r="T61" s="11" t="s">
        <v>833</v>
      </c>
      <c r="U61" s="11" t="s">
        <v>834</v>
      </c>
      <c r="V61" s="17" t="s">
        <v>835</v>
      </c>
      <c r="W61" s="17" t="s">
        <v>110</v>
      </c>
      <c r="X61" s="70">
        <v>195</v>
      </c>
      <c r="Y61" s="70"/>
      <c r="Z61" s="13">
        <v>17349</v>
      </c>
      <c r="AA61" s="13">
        <v>17380</v>
      </c>
      <c r="AB61" s="13">
        <v>17397</v>
      </c>
      <c r="AC61" s="13">
        <v>17399</v>
      </c>
      <c r="AD61" s="86">
        <v>5504</v>
      </c>
      <c r="AE61" s="86">
        <v>5504</v>
      </c>
      <c r="AF61" s="70" t="s">
        <v>94</v>
      </c>
      <c r="AG61" s="23" t="s">
        <v>836</v>
      </c>
      <c r="AH61" s="17" t="s">
        <v>94</v>
      </c>
      <c r="AI61" s="70" t="s">
        <v>94</v>
      </c>
      <c r="AJ61" s="17" t="s">
        <v>94</v>
      </c>
      <c r="AK61" s="17" t="s">
        <v>95</v>
      </c>
      <c r="AL61" s="17" t="s">
        <v>837</v>
      </c>
      <c r="AM61" s="17" t="s">
        <v>94</v>
      </c>
      <c r="AN61" s="17" t="s">
        <v>94</v>
      </c>
      <c r="AO61" s="17" t="s">
        <v>98</v>
      </c>
      <c r="AP61" s="17" t="s">
        <v>98</v>
      </c>
      <c r="AQ61" s="17" t="s">
        <v>98</v>
      </c>
      <c r="AR61" s="17" t="s">
        <v>94</v>
      </c>
      <c r="AS61" s="17" t="s">
        <v>838</v>
      </c>
      <c r="AT61" s="17">
        <v>127</v>
      </c>
      <c r="AU61" s="30" t="s">
        <v>839</v>
      </c>
      <c r="AV61" s="14">
        <v>1536</v>
      </c>
      <c r="AW61" s="74"/>
      <c r="AX61" s="1"/>
      <c r="AY61" s="17" t="s">
        <v>101</v>
      </c>
    </row>
    <row r="62" spans="1:51" ht="12.75" customHeight="1" x14ac:dyDescent="0.25">
      <c r="A62" s="5">
        <v>61</v>
      </c>
      <c r="B62" s="9">
        <v>61</v>
      </c>
      <c r="C62" s="9" t="s">
        <v>840</v>
      </c>
      <c r="D62" s="57" t="str">
        <f>HYPERLINK("http://prodenv.dep.state.fl.us/DepNexus/public/electronic-documents/OG_61/facility!search","OG_61_Docs")</f>
        <v>OG_61_Docs</v>
      </c>
      <c r="E62" s="57" t="str">
        <f>HYPERLINK("https://ca.dep.state.fl.us/mapdirect/?focus=oilandgas&amp;zoom=query&amp;querytype=oilandgas&amp;queryvalues=OG_61","OG_61_Map")</f>
        <v>OG_61_Map</v>
      </c>
      <c r="F62" s="1" t="s">
        <v>841</v>
      </c>
      <c r="G62" s="1" t="s">
        <v>79</v>
      </c>
      <c r="H62" s="1" t="s">
        <v>842</v>
      </c>
      <c r="I62" s="1" t="s">
        <v>843</v>
      </c>
      <c r="J62" s="17" t="s">
        <v>82</v>
      </c>
      <c r="K62" s="17" t="s">
        <v>83</v>
      </c>
      <c r="L62" s="17"/>
      <c r="M62" s="17" t="s">
        <v>101</v>
      </c>
      <c r="N62" s="52" t="s">
        <v>85</v>
      </c>
      <c r="O62" s="17" t="s">
        <v>86</v>
      </c>
      <c r="P62" s="17" t="s">
        <v>86</v>
      </c>
      <c r="Q62" s="81" t="s">
        <v>844</v>
      </c>
      <c r="R62" s="11">
        <v>30.9864</v>
      </c>
      <c r="S62" s="11">
        <v>-85.691597999999999</v>
      </c>
      <c r="T62" s="11" t="s">
        <v>845</v>
      </c>
      <c r="U62" s="11" t="s">
        <v>846</v>
      </c>
      <c r="V62" s="17" t="s">
        <v>847</v>
      </c>
      <c r="W62" s="17" t="s">
        <v>110</v>
      </c>
      <c r="X62" s="70">
        <v>202.3</v>
      </c>
      <c r="Y62" s="70"/>
      <c r="Z62" s="13">
        <v>17356</v>
      </c>
      <c r="AA62" s="13">
        <v>17355</v>
      </c>
      <c r="AB62" s="13">
        <v>17370</v>
      </c>
      <c r="AC62" s="13">
        <v>17374</v>
      </c>
      <c r="AD62" s="86">
        <v>4107</v>
      </c>
      <c r="AE62" s="86">
        <v>4107</v>
      </c>
      <c r="AF62" s="70" t="s">
        <v>94</v>
      </c>
      <c r="AG62" s="17" t="s">
        <v>848</v>
      </c>
      <c r="AH62" s="17" t="s">
        <v>94</v>
      </c>
      <c r="AI62" s="70" t="s">
        <v>94</v>
      </c>
      <c r="AJ62" s="17" t="s">
        <v>94</v>
      </c>
      <c r="AK62" s="17" t="s">
        <v>95</v>
      </c>
      <c r="AL62" s="17" t="s">
        <v>849</v>
      </c>
      <c r="AM62" s="17" t="s">
        <v>94</v>
      </c>
      <c r="AN62" s="17" t="s">
        <v>94</v>
      </c>
      <c r="AO62" s="17" t="s">
        <v>98</v>
      </c>
      <c r="AP62" s="17" t="s">
        <v>98</v>
      </c>
      <c r="AQ62" s="17" t="s">
        <v>98</v>
      </c>
      <c r="AR62" s="17" t="s">
        <v>94</v>
      </c>
      <c r="AS62" s="17" t="s">
        <v>850</v>
      </c>
      <c r="AT62" s="17"/>
      <c r="AU62" s="30" t="s">
        <v>851</v>
      </c>
      <c r="AV62" s="14">
        <v>1513</v>
      </c>
      <c r="AW62" s="74"/>
      <c r="AX62" s="1"/>
      <c r="AY62" s="17" t="s">
        <v>101</v>
      </c>
    </row>
    <row r="63" spans="1:51" ht="12.75" customHeight="1" x14ac:dyDescent="0.25">
      <c r="A63" s="5">
        <v>62</v>
      </c>
      <c r="B63" s="9">
        <v>62</v>
      </c>
      <c r="C63" s="9" t="s">
        <v>852</v>
      </c>
      <c r="D63" s="57" t="str">
        <f>HYPERLINK("http://prodenv.dep.state.fl.us/DepNexus/public/electronic-documents/OG_62/facility!search","OG_62_Docs")</f>
        <v>OG_62_Docs</v>
      </c>
      <c r="E63" s="57" t="str">
        <f>HYPERLINK("https://ca.dep.state.fl.us/mapdirect/?focus=oilandgas&amp;zoom=query&amp;querytype=oilandgas&amp;queryvalues=OG_62","OG_62_Map")</f>
        <v>OG_62_Map</v>
      </c>
      <c r="F63" s="1" t="s">
        <v>853</v>
      </c>
      <c r="G63" s="1" t="s">
        <v>79</v>
      </c>
      <c r="H63" s="1" t="s">
        <v>176</v>
      </c>
      <c r="I63" s="1" t="s">
        <v>854</v>
      </c>
      <c r="J63" s="17" t="s">
        <v>82</v>
      </c>
      <c r="K63" s="17" t="s">
        <v>83</v>
      </c>
      <c r="L63" s="17"/>
      <c r="M63" s="17" t="s">
        <v>101</v>
      </c>
      <c r="N63" s="52" t="s">
        <v>193</v>
      </c>
      <c r="O63" s="17" t="s">
        <v>86</v>
      </c>
      <c r="P63" s="17" t="s">
        <v>86</v>
      </c>
      <c r="Q63" s="81" t="s">
        <v>855</v>
      </c>
      <c r="R63" s="11">
        <v>27.413028000000001</v>
      </c>
      <c r="S63" s="11">
        <v>-81.984369999999998</v>
      </c>
      <c r="T63" s="11" t="s">
        <v>856</v>
      </c>
      <c r="U63" s="11" t="s">
        <v>857</v>
      </c>
      <c r="V63" s="17" t="s">
        <v>858</v>
      </c>
      <c r="W63" s="17" t="s">
        <v>110</v>
      </c>
      <c r="X63" s="70">
        <v>83</v>
      </c>
      <c r="Y63" s="70"/>
      <c r="Z63" s="13">
        <v>17356</v>
      </c>
      <c r="AA63" s="13">
        <v>17410</v>
      </c>
      <c r="AB63" s="13">
        <v>17545</v>
      </c>
      <c r="AC63" s="13">
        <v>17545</v>
      </c>
      <c r="AD63" s="86">
        <v>11933</v>
      </c>
      <c r="AE63" s="86">
        <v>11933</v>
      </c>
      <c r="AF63" s="70" t="s">
        <v>859</v>
      </c>
      <c r="AG63" s="17" t="s">
        <v>860</v>
      </c>
      <c r="AH63" s="17" t="s">
        <v>861</v>
      </c>
      <c r="AI63" s="70" t="s">
        <v>94</v>
      </c>
      <c r="AJ63" s="17" t="s">
        <v>94</v>
      </c>
      <c r="AK63" s="17" t="s">
        <v>95</v>
      </c>
      <c r="AL63" s="17" t="s">
        <v>862</v>
      </c>
      <c r="AM63" s="17" t="s">
        <v>825</v>
      </c>
      <c r="AN63" s="17" t="s">
        <v>94</v>
      </c>
      <c r="AO63" s="17" t="s">
        <v>98</v>
      </c>
      <c r="AP63" s="17" t="s">
        <v>98</v>
      </c>
      <c r="AQ63" s="17" t="s">
        <v>98</v>
      </c>
      <c r="AR63" s="17" t="s">
        <v>94</v>
      </c>
      <c r="AS63" s="17" t="s">
        <v>863</v>
      </c>
      <c r="AT63" s="17"/>
      <c r="AU63" s="30" t="s">
        <v>864</v>
      </c>
      <c r="AV63" s="14">
        <v>1655</v>
      </c>
      <c r="AW63" s="74"/>
      <c r="AX63" s="1" t="s">
        <v>865</v>
      </c>
      <c r="AY63" s="17" t="s">
        <v>101</v>
      </c>
    </row>
    <row r="64" spans="1:51" ht="15" customHeight="1" x14ac:dyDescent="0.25">
      <c r="A64" s="5">
        <v>63</v>
      </c>
      <c r="B64" s="9">
        <v>63</v>
      </c>
      <c r="C64" s="9" t="s">
        <v>866</v>
      </c>
      <c r="D64" s="57" t="str">
        <f>HYPERLINK("http://prodenv.dep.state.fl.us/DepNexus/public/electronic-documents/OG_63/facility!search","OG_63_Docs")</f>
        <v>OG_63_Docs</v>
      </c>
      <c r="E64" s="57" t="str">
        <f>HYPERLINK("https://ca.dep.state.fl.us/mapdirect/?focus=oilandgas&amp;zoom=query&amp;querytype=oilandgas&amp;queryvalues=OG_63","OG_63_Map")</f>
        <v>OG_63_Map</v>
      </c>
      <c r="F64" s="1" t="s">
        <v>265</v>
      </c>
      <c r="G64" s="1" t="s">
        <v>266</v>
      </c>
      <c r="H64" s="1" t="s">
        <v>176</v>
      </c>
      <c r="I64" s="1" t="s">
        <v>867</v>
      </c>
      <c r="J64" s="17" t="s">
        <v>268</v>
      </c>
      <c r="K64" s="17" t="s">
        <v>412</v>
      </c>
      <c r="L64" s="17"/>
      <c r="M64" s="17"/>
      <c r="N64" s="52" t="s">
        <v>193</v>
      </c>
      <c r="O64" s="17" t="s">
        <v>270</v>
      </c>
      <c r="P64" s="17" t="s">
        <v>86</v>
      </c>
      <c r="Q64" s="81" t="s">
        <v>714</v>
      </c>
      <c r="R64" s="11">
        <v>26.287728000000001</v>
      </c>
      <c r="S64" s="11">
        <v>-81.349109999999996</v>
      </c>
      <c r="T64" s="11" t="s">
        <v>868</v>
      </c>
      <c r="U64" s="11" t="s">
        <v>869</v>
      </c>
      <c r="V64" s="17" t="s">
        <v>870</v>
      </c>
      <c r="W64" s="17" t="s">
        <v>110</v>
      </c>
      <c r="X64" s="70">
        <v>30.42</v>
      </c>
      <c r="Y64" s="70">
        <v>18.57</v>
      </c>
      <c r="Z64" s="13">
        <v>17356</v>
      </c>
      <c r="AA64" s="13">
        <v>17353</v>
      </c>
      <c r="AB64" s="13">
        <v>17454</v>
      </c>
      <c r="AC64" s="13">
        <v>31989</v>
      </c>
      <c r="AD64" s="86">
        <v>11573</v>
      </c>
      <c r="AE64" s="86">
        <v>11573</v>
      </c>
      <c r="AF64" s="70" t="s">
        <v>871</v>
      </c>
      <c r="AG64" s="23" t="s">
        <v>872</v>
      </c>
      <c r="AH64" s="17" t="s">
        <v>873</v>
      </c>
      <c r="AI64" s="71" t="s">
        <v>874</v>
      </c>
      <c r="AJ64" s="23" t="s">
        <v>875</v>
      </c>
      <c r="AK64" s="17" t="s">
        <v>95</v>
      </c>
      <c r="AL64" s="17" t="s">
        <v>876</v>
      </c>
      <c r="AM64" s="17" t="s">
        <v>94</v>
      </c>
      <c r="AN64" s="17" t="s">
        <v>877</v>
      </c>
      <c r="AO64" s="17" t="s">
        <v>878</v>
      </c>
      <c r="AP64" s="17" t="s">
        <v>879</v>
      </c>
      <c r="AQ64" s="17" t="s">
        <v>425</v>
      </c>
      <c r="AR64" s="17" t="s">
        <v>880</v>
      </c>
      <c r="AS64" s="17" t="s">
        <v>881</v>
      </c>
      <c r="AT64" s="17"/>
      <c r="AU64" s="30" t="s">
        <v>882</v>
      </c>
      <c r="AV64" s="14">
        <v>1549</v>
      </c>
      <c r="AW64" s="74"/>
      <c r="AX64" s="1"/>
      <c r="AY64" s="17" t="s">
        <v>101</v>
      </c>
    </row>
    <row r="65" spans="1:51" ht="12.75" customHeight="1" x14ac:dyDescent="0.25">
      <c r="A65" s="5">
        <v>64</v>
      </c>
      <c r="B65" s="9">
        <v>64</v>
      </c>
      <c r="C65" s="9" t="s">
        <v>883</v>
      </c>
      <c r="D65" s="57" t="str">
        <f>HYPERLINK("http://prodenv.dep.state.fl.us/DepNexus/public/electronic-documents/OG_64/facility!search","OG_64_Docs")</f>
        <v>OG_64_Docs</v>
      </c>
      <c r="E65" s="57" t="str">
        <f>HYPERLINK("https://ca.dep.state.fl.us/mapdirect/?focus=oilandgas&amp;zoom=query&amp;querytype=oilandgas&amp;queryvalues=OG_64","OG_64_Map")</f>
        <v>OG_64_Map</v>
      </c>
      <c r="F65" s="1" t="s">
        <v>265</v>
      </c>
      <c r="G65" s="1" t="s">
        <v>79</v>
      </c>
      <c r="H65" s="1" t="s">
        <v>176</v>
      </c>
      <c r="I65" s="1" t="s">
        <v>884</v>
      </c>
      <c r="J65" s="17" t="s">
        <v>82</v>
      </c>
      <c r="K65" s="17" t="s">
        <v>83</v>
      </c>
      <c r="L65" s="17"/>
      <c r="M65" s="17"/>
      <c r="N65" s="52" t="s">
        <v>193</v>
      </c>
      <c r="O65" s="17" t="s">
        <v>270</v>
      </c>
      <c r="P65" s="17" t="s">
        <v>86</v>
      </c>
      <c r="Q65" s="81" t="s">
        <v>885</v>
      </c>
      <c r="R65" s="11">
        <v>26.291854000000001</v>
      </c>
      <c r="S65" s="11">
        <v>-81.490504000000001</v>
      </c>
      <c r="T65" s="11" t="s">
        <v>886</v>
      </c>
      <c r="U65" s="11" t="s">
        <v>887</v>
      </c>
      <c r="V65" s="17" t="s">
        <v>888</v>
      </c>
      <c r="W65" s="17" t="s">
        <v>110</v>
      </c>
      <c r="X65" s="70">
        <v>32.200000000000003</v>
      </c>
      <c r="Y65" s="70">
        <v>21.5</v>
      </c>
      <c r="Z65" s="13">
        <v>17377</v>
      </c>
      <c r="AA65" s="13">
        <v>17551</v>
      </c>
      <c r="AB65" s="13">
        <v>17660</v>
      </c>
      <c r="AC65" s="13">
        <v>17660</v>
      </c>
      <c r="AD65" s="86">
        <v>12220</v>
      </c>
      <c r="AE65" s="86">
        <v>12220</v>
      </c>
      <c r="AF65" s="70" t="s">
        <v>889</v>
      </c>
      <c r="AG65" s="23" t="s">
        <v>890</v>
      </c>
      <c r="AH65" s="17" t="s">
        <v>891</v>
      </c>
      <c r="AI65" s="70" t="s">
        <v>94</v>
      </c>
      <c r="AJ65" s="17" t="s">
        <v>94</v>
      </c>
      <c r="AK65" s="17" t="s">
        <v>95</v>
      </c>
      <c r="AL65" s="17" t="s">
        <v>892</v>
      </c>
      <c r="AM65" s="17" t="s">
        <v>94</v>
      </c>
      <c r="AN65" s="17" t="s">
        <v>893</v>
      </c>
      <c r="AO65" s="17" t="s">
        <v>98</v>
      </c>
      <c r="AP65" s="17" t="s">
        <v>98</v>
      </c>
      <c r="AQ65" s="17" t="s">
        <v>98</v>
      </c>
      <c r="AR65" s="17" t="s">
        <v>94</v>
      </c>
      <c r="AS65" s="17" t="s">
        <v>894</v>
      </c>
      <c r="AT65" s="17"/>
      <c r="AU65" s="30" t="s">
        <v>895</v>
      </c>
      <c r="AV65" s="14">
        <v>1820</v>
      </c>
      <c r="AW65" s="74"/>
      <c r="AX65" s="1"/>
      <c r="AY65" s="17" t="s">
        <v>101</v>
      </c>
    </row>
    <row r="66" spans="1:51" ht="12.75" customHeight="1" x14ac:dyDescent="0.25">
      <c r="A66" s="5">
        <v>65</v>
      </c>
      <c r="B66" s="9">
        <v>65</v>
      </c>
      <c r="C66" s="9" t="s">
        <v>896</v>
      </c>
      <c r="D66" s="57" t="str">
        <f>HYPERLINK("http://prodenv.dep.state.fl.us/DepNexus/public/electronic-documents/OG_65/facility!search","OG_65_Docs")</f>
        <v>OG_65_Docs</v>
      </c>
      <c r="E66" s="57" t="str">
        <f>HYPERLINK("https://ca.dep.state.fl.us/mapdirect/?focus=oilandgas&amp;zoom=query&amp;querytype=oilandgas&amp;queryvalues=OG_65","OG_65_Map")</f>
        <v>OG_65_Map</v>
      </c>
      <c r="F66" s="1" t="s">
        <v>314</v>
      </c>
      <c r="G66" s="1" t="s">
        <v>79</v>
      </c>
      <c r="H66" s="1" t="s">
        <v>817</v>
      </c>
      <c r="I66" s="1" t="s">
        <v>897</v>
      </c>
      <c r="J66" s="17" t="s">
        <v>82</v>
      </c>
      <c r="K66" s="17" t="s">
        <v>83</v>
      </c>
      <c r="L66" s="17"/>
      <c r="M66" s="17" t="s">
        <v>101</v>
      </c>
      <c r="N66" s="52" t="s">
        <v>193</v>
      </c>
      <c r="O66" s="17" t="s">
        <v>86</v>
      </c>
      <c r="P66" s="17" t="s">
        <v>86</v>
      </c>
      <c r="Q66" s="81" t="s">
        <v>898</v>
      </c>
      <c r="R66" s="11">
        <v>30.643954999999998</v>
      </c>
      <c r="S66" s="11">
        <v>-85.972742999999994</v>
      </c>
      <c r="T66" s="11" t="s">
        <v>899</v>
      </c>
      <c r="U66" s="11" t="s">
        <v>900</v>
      </c>
      <c r="V66" s="17" t="s">
        <v>901</v>
      </c>
      <c r="W66" s="17" t="s">
        <v>110</v>
      </c>
      <c r="X66" s="70">
        <v>106.3</v>
      </c>
      <c r="Y66" s="70">
        <v>97</v>
      </c>
      <c r="Z66" s="13">
        <v>17384</v>
      </c>
      <c r="AA66" s="13">
        <v>17410</v>
      </c>
      <c r="AB66" s="13">
        <v>17410</v>
      </c>
      <c r="AC66" s="13">
        <v>17410</v>
      </c>
      <c r="AD66" s="86">
        <v>6503</v>
      </c>
      <c r="AE66" s="86">
        <v>6503</v>
      </c>
      <c r="AF66" s="70" t="s">
        <v>902</v>
      </c>
      <c r="AG66" s="17" t="s">
        <v>903</v>
      </c>
      <c r="AH66" s="17" t="s">
        <v>904</v>
      </c>
      <c r="AI66" s="70" t="s">
        <v>94</v>
      </c>
      <c r="AJ66" s="17" t="s">
        <v>94</v>
      </c>
      <c r="AK66" s="17" t="s">
        <v>95</v>
      </c>
      <c r="AL66" s="17" t="s">
        <v>905</v>
      </c>
      <c r="AM66" s="17" t="s">
        <v>94</v>
      </c>
      <c r="AN66" s="17" t="s">
        <v>94</v>
      </c>
      <c r="AO66" s="17" t="s">
        <v>98</v>
      </c>
      <c r="AP66" s="17" t="s">
        <v>98</v>
      </c>
      <c r="AQ66" s="17" t="s">
        <v>98</v>
      </c>
      <c r="AR66" s="17" t="s">
        <v>94</v>
      </c>
      <c r="AS66" s="23" t="s">
        <v>906</v>
      </c>
      <c r="AT66" s="17">
        <v>190</v>
      </c>
      <c r="AU66" s="30" t="s">
        <v>907</v>
      </c>
      <c r="AV66" s="14">
        <v>1535</v>
      </c>
      <c r="AW66" s="74"/>
      <c r="AX66" s="1"/>
      <c r="AY66" s="17" t="s">
        <v>101</v>
      </c>
    </row>
    <row r="67" spans="1:51" ht="12.75" customHeight="1" x14ac:dyDescent="0.25">
      <c r="A67" s="5">
        <v>66</v>
      </c>
      <c r="B67" s="9">
        <v>66</v>
      </c>
      <c r="C67" s="9" t="s">
        <v>908</v>
      </c>
      <c r="D67" s="57" t="str">
        <f>HYPERLINK("http://prodenv.dep.state.fl.us/DepNexus/public/electronic-documents/OG_66/facility!search","OG_66_Docs")</f>
        <v>OG_66_Docs</v>
      </c>
      <c r="E67" s="57" t="str">
        <f>HYPERLINK("https://ca.dep.state.fl.us/mapdirect/?focus=oilandgas&amp;zoom=query&amp;querytype=oilandgas&amp;queryvalues=OG_66","OG_66_Map")</f>
        <v>OG_66_Map</v>
      </c>
      <c r="F67" s="1" t="s">
        <v>241</v>
      </c>
      <c r="G67" s="1" t="s">
        <v>79</v>
      </c>
      <c r="H67" s="1" t="s">
        <v>909</v>
      </c>
      <c r="I67" s="1" t="s">
        <v>910</v>
      </c>
      <c r="J67" s="17" t="s">
        <v>82</v>
      </c>
      <c r="K67" s="17" t="s">
        <v>83</v>
      </c>
      <c r="L67" s="17"/>
      <c r="M67" s="17" t="s">
        <v>84</v>
      </c>
      <c r="N67" s="52" t="s">
        <v>85</v>
      </c>
      <c r="O67" s="17" t="s">
        <v>86</v>
      </c>
      <c r="P67" s="17" t="s">
        <v>86</v>
      </c>
      <c r="Q67" s="81" t="s">
        <v>911</v>
      </c>
      <c r="R67" s="11">
        <v>29.172875000000001</v>
      </c>
      <c r="S67" s="11">
        <v>-83.018195000000006</v>
      </c>
      <c r="T67" s="11" t="s">
        <v>912</v>
      </c>
      <c r="U67" s="11" t="s">
        <v>913</v>
      </c>
      <c r="V67" s="17" t="s">
        <v>914</v>
      </c>
      <c r="W67" s="17" t="s">
        <v>110</v>
      </c>
      <c r="X67" s="70">
        <v>15</v>
      </c>
      <c r="Y67" s="70">
        <v>5</v>
      </c>
      <c r="Z67" s="13">
        <v>17391</v>
      </c>
      <c r="AA67" s="13">
        <v>17395</v>
      </c>
      <c r="AB67" s="13">
        <v>17458</v>
      </c>
      <c r="AC67" s="13">
        <v>17459</v>
      </c>
      <c r="AD67" s="86">
        <v>5850</v>
      </c>
      <c r="AE67" s="86">
        <v>5850</v>
      </c>
      <c r="AF67" s="70" t="s">
        <v>915</v>
      </c>
      <c r="AG67" s="17" t="s">
        <v>916</v>
      </c>
      <c r="AH67" s="17" t="s">
        <v>94</v>
      </c>
      <c r="AI67" s="70" t="s">
        <v>94</v>
      </c>
      <c r="AJ67" s="17" t="s">
        <v>94</v>
      </c>
      <c r="AK67" s="17" t="s">
        <v>95</v>
      </c>
      <c r="AL67" s="17" t="s">
        <v>917</v>
      </c>
      <c r="AM67" s="17" t="s">
        <v>94</v>
      </c>
      <c r="AN67" s="17" t="s">
        <v>86</v>
      </c>
      <c r="AO67" s="17" t="s">
        <v>98</v>
      </c>
      <c r="AP67" s="17" t="s">
        <v>98</v>
      </c>
      <c r="AQ67" s="17" t="s">
        <v>98</v>
      </c>
      <c r="AR67" s="17" t="s">
        <v>94</v>
      </c>
      <c r="AS67" s="23" t="s">
        <v>918</v>
      </c>
      <c r="AT67" s="17">
        <v>118</v>
      </c>
      <c r="AU67" s="30" t="s">
        <v>919</v>
      </c>
      <c r="AV67" s="14">
        <v>1537</v>
      </c>
      <c r="AW67" s="74"/>
      <c r="AX67" s="1"/>
      <c r="AY67" s="17" t="s">
        <v>101</v>
      </c>
    </row>
    <row r="68" spans="1:51" ht="12.75" customHeight="1" x14ac:dyDescent="0.25">
      <c r="A68" s="5">
        <v>67</v>
      </c>
      <c r="B68" s="9">
        <v>67</v>
      </c>
      <c r="C68" s="9" t="s">
        <v>920</v>
      </c>
      <c r="D68" s="57" t="str">
        <f>HYPERLINK("http://prodenv.dep.state.fl.us/DepNexus/public/electronic-documents/OG_67/facility!search","OG_67_Docs")</f>
        <v>OG_67_Docs</v>
      </c>
      <c r="E68" s="57" t="str">
        <f>HYPERLINK("https://ca.dep.state.fl.us/mapdirect/?focus=oilandgas&amp;zoom=query&amp;querytype=oilandgas&amp;queryvalues=OG_67","OG_67_Map")</f>
        <v>OG_67_Map</v>
      </c>
      <c r="F68" s="1" t="s">
        <v>127</v>
      </c>
      <c r="G68" s="1" t="s">
        <v>79</v>
      </c>
      <c r="H68" s="1" t="s">
        <v>176</v>
      </c>
      <c r="I68" s="1" t="s">
        <v>921</v>
      </c>
      <c r="J68" s="17" t="s">
        <v>82</v>
      </c>
      <c r="K68" s="17" t="s">
        <v>83</v>
      </c>
      <c r="L68" s="17"/>
      <c r="M68" s="17" t="s">
        <v>101</v>
      </c>
      <c r="N68" s="52" t="s">
        <v>130</v>
      </c>
      <c r="O68" s="17" t="s">
        <v>86</v>
      </c>
      <c r="P68" s="17" t="s">
        <v>86</v>
      </c>
      <c r="Q68" s="81" t="s">
        <v>922</v>
      </c>
      <c r="R68" s="11">
        <v>30.128004000000001</v>
      </c>
      <c r="S68" s="11">
        <v>-83.234464000000003</v>
      </c>
      <c r="T68" s="11" t="s">
        <v>923</v>
      </c>
      <c r="U68" s="11" t="s">
        <v>924</v>
      </c>
      <c r="V68" s="17" t="s">
        <v>925</v>
      </c>
      <c r="W68" s="17" t="s">
        <v>110</v>
      </c>
      <c r="X68" s="70">
        <v>52</v>
      </c>
      <c r="Y68" s="70"/>
      <c r="Z68" s="13">
        <v>17413</v>
      </c>
      <c r="AA68" s="13">
        <v>17428</v>
      </c>
      <c r="AB68" s="13">
        <v>17582</v>
      </c>
      <c r="AC68" s="13">
        <v>17582</v>
      </c>
      <c r="AD68" s="86">
        <v>4235</v>
      </c>
      <c r="AE68" s="86">
        <v>4235</v>
      </c>
      <c r="AF68" s="70" t="s">
        <v>926</v>
      </c>
      <c r="AG68" s="17" t="s">
        <v>927</v>
      </c>
      <c r="AH68" s="17" t="s">
        <v>928</v>
      </c>
      <c r="AI68" s="70" t="s">
        <v>929</v>
      </c>
      <c r="AJ68" s="17" t="s">
        <v>94</v>
      </c>
      <c r="AK68" s="17" t="s">
        <v>95</v>
      </c>
      <c r="AL68" s="17" t="s">
        <v>930</v>
      </c>
      <c r="AM68" s="17" t="s">
        <v>94</v>
      </c>
      <c r="AN68" s="23" t="s">
        <v>931</v>
      </c>
      <c r="AO68" s="17" t="s">
        <v>98</v>
      </c>
      <c r="AP68" s="17" t="s">
        <v>98</v>
      </c>
      <c r="AQ68" s="17" t="s">
        <v>98</v>
      </c>
      <c r="AR68" s="17" t="s">
        <v>94</v>
      </c>
      <c r="AS68" s="17" t="s">
        <v>932</v>
      </c>
      <c r="AT68" s="17">
        <v>126</v>
      </c>
      <c r="AU68" s="30" t="s">
        <v>933</v>
      </c>
      <c r="AV68" s="14">
        <v>1696</v>
      </c>
      <c r="AW68" s="74"/>
      <c r="AX68" s="24" t="s">
        <v>934</v>
      </c>
      <c r="AY68" s="17" t="s">
        <v>101</v>
      </c>
    </row>
    <row r="69" spans="1:51" ht="12.75" customHeight="1" x14ac:dyDescent="0.25">
      <c r="A69" s="5">
        <v>68</v>
      </c>
      <c r="B69" s="9">
        <v>68</v>
      </c>
      <c r="C69" s="9" t="s">
        <v>935</v>
      </c>
      <c r="D69" s="57" t="str">
        <f>HYPERLINK("http://prodenv.dep.state.fl.us/DepNexus/public/electronic-documents/OG_68/facility!search","OG_68_Docs")</f>
        <v>OG_68_Docs</v>
      </c>
      <c r="E69" s="57" t="str">
        <f>HYPERLINK("https://ca.dep.state.fl.us/mapdirect/?focus=oilandgas&amp;zoom=query&amp;querytype=oilandgas&amp;queryvalues=OG_68","OG_68_Map")</f>
        <v>OG_68_Map</v>
      </c>
      <c r="F69" s="1" t="s">
        <v>314</v>
      </c>
      <c r="G69" s="1" t="s">
        <v>79</v>
      </c>
      <c r="H69" s="1" t="s">
        <v>936</v>
      </c>
      <c r="I69" s="1" t="s">
        <v>937</v>
      </c>
      <c r="J69" s="17" t="s">
        <v>82</v>
      </c>
      <c r="K69" s="17" t="s">
        <v>83</v>
      </c>
      <c r="L69" s="17"/>
      <c r="M69" s="17" t="s">
        <v>101</v>
      </c>
      <c r="N69" s="52" t="s">
        <v>193</v>
      </c>
      <c r="O69" s="17" t="s">
        <v>86</v>
      </c>
      <c r="P69" s="17" t="s">
        <v>86</v>
      </c>
      <c r="Q69" s="81" t="s">
        <v>938</v>
      </c>
      <c r="R69" s="11">
        <v>30.897376000000001</v>
      </c>
      <c r="S69" s="11">
        <v>-86.353592000000006</v>
      </c>
      <c r="T69" s="11" t="s">
        <v>939</v>
      </c>
      <c r="U69" s="11" t="s">
        <v>940</v>
      </c>
      <c r="V69" s="17" t="s">
        <v>941</v>
      </c>
      <c r="W69" s="17" t="s">
        <v>110</v>
      </c>
      <c r="X69" s="70">
        <v>212</v>
      </c>
      <c r="Y69" s="70">
        <v>208</v>
      </c>
      <c r="Z69" s="13">
        <v>17413</v>
      </c>
      <c r="AA69" s="13">
        <v>17414</v>
      </c>
      <c r="AB69" s="13">
        <v>17435</v>
      </c>
      <c r="AC69" s="13">
        <v>17435</v>
      </c>
      <c r="AD69" s="86">
        <v>5270</v>
      </c>
      <c r="AE69" s="86">
        <v>5270</v>
      </c>
      <c r="AF69" s="71" t="s">
        <v>94</v>
      </c>
      <c r="AG69" s="23" t="s">
        <v>836</v>
      </c>
      <c r="AH69" s="17" t="s">
        <v>94</v>
      </c>
      <c r="AI69" s="70" t="s">
        <v>94</v>
      </c>
      <c r="AJ69" s="17" t="s">
        <v>94</v>
      </c>
      <c r="AK69" s="17" t="s">
        <v>95</v>
      </c>
      <c r="AL69" s="23" t="s">
        <v>942</v>
      </c>
      <c r="AM69" s="17" t="s">
        <v>94</v>
      </c>
      <c r="AN69" s="17" t="s">
        <v>94</v>
      </c>
      <c r="AO69" s="17" t="s">
        <v>98</v>
      </c>
      <c r="AP69" s="17" t="s">
        <v>98</v>
      </c>
      <c r="AQ69" s="17" t="s">
        <v>98</v>
      </c>
      <c r="AR69" s="17" t="s">
        <v>94</v>
      </c>
      <c r="AS69" s="23" t="s">
        <v>943</v>
      </c>
      <c r="AT69" s="17">
        <v>121</v>
      </c>
      <c r="AU69" s="30" t="s">
        <v>944</v>
      </c>
      <c r="AV69" s="14">
        <v>1591</v>
      </c>
      <c r="AW69" s="74"/>
      <c r="AX69" s="1"/>
      <c r="AY69" s="17" t="s">
        <v>101</v>
      </c>
    </row>
    <row r="70" spans="1:51" ht="12.75" customHeight="1" x14ac:dyDescent="0.25">
      <c r="A70" s="5">
        <v>69</v>
      </c>
      <c r="B70" s="9">
        <v>69</v>
      </c>
      <c r="C70" s="9" t="s">
        <v>945</v>
      </c>
      <c r="D70" s="57" t="str">
        <f>HYPERLINK("http://prodenv.dep.state.fl.us/DepNexus/public/electronic-documents/OG_69/facility!search","OG_69_Docs")</f>
        <v>OG_69_Docs</v>
      </c>
      <c r="E70" s="57" t="str">
        <f>HYPERLINK("https://ca.dep.state.fl.us/mapdirect/?focus=oilandgas&amp;zoom=query&amp;querytype=oilandgas&amp;queryvalues=OG_69","OG_69_Map")</f>
        <v>OG_69_Map</v>
      </c>
      <c r="F70" s="1" t="s">
        <v>241</v>
      </c>
      <c r="G70" s="1" t="s">
        <v>79</v>
      </c>
      <c r="H70" s="1" t="s">
        <v>946</v>
      </c>
      <c r="I70" s="1" t="s">
        <v>947</v>
      </c>
      <c r="J70" s="17" t="s">
        <v>82</v>
      </c>
      <c r="K70" s="17" t="s">
        <v>83</v>
      </c>
      <c r="L70" s="17"/>
      <c r="M70" s="17"/>
      <c r="N70" s="52" t="s">
        <v>86</v>
      </c>
      <c r="O70" s="17" t="s">
        <v>86</v>
      </c>
      <c r="P70" s="17" t="s">
        <v>86</v>
      </c>
      <c r="Q70" s="81" t="s">
        <v>948</v>
      </c>
      <c r="R70" s="11">
        <v>29.291895</v>
      </c>
      <c r="S70" s="11">
        <v>-82.733317</v>
      </c>
      <c r="T70" s="11" t="s">
        <v>949</v>
      </c>
      <c r="U70" s="11" t="s">
        <v>950</v>
      </c>
      <c r="V70" s="17" t="s">
        <v>951</v>
      </c>
      <c r="W70" s="17" t="s">
        <v>110</v>
      </c>
      <c r="X70" s="71"/>
      <c r="Y70" s="71"/>
      <c r="Z70" s="13">
        <v>17475</v>
      </c>
      <c r="AA70" s="13">
        <v>17481</v>
      </c>
      <c r="AB70" s="13">
        <v>18233</v>
      </c>
      <c r="AC70" s="13">
        <v>18233</v>
      </c>
      <c r="AD70" s="86">
        <v>2173</v>
      </c>
      <c r="AE70" s="86">
        <v>2173</v>
      </c>
      <c r="AF70" s="70" t="s">
        <v>952</v>
      </c>
      <c r="AG70" s="17" t="s">
        <v>953</v>
      </c>
      <c r="AH70" s="17" t="s">
        <v>954</v>
      </c>
      <c r="AI70" s="70" t="s">
        <v>955</v>
      </c>
      <c r="AJ70" s="17" t="s">
        <v>94</v>
      </c>
      <c r="AK70" s="17" t="s">
        <v>95</v>
      </c>
      <c r="AL70" s="17" t="s">
        <v>86</v>
      </c>
      <c r="AM70" s="17" t="s">
        <v>94</v>
      </c>
      <c r="AN70" s="17" t="s">
        <v>86</v>
      </c>
      <c r="AO70" s="17" t="s">
        <v>98</v>
      </c>
      <c r="AP70" s="17" t="s">
        <v>98</v>
      </c>
      <c r="AQ70" s="17" t="s">
        <v>98</v>
      </c>
      <c r="AR70" s="17" t="s">
        <v>94</v>
      </c>
      <c r="AS70" s="17" t="s">
        <v>956</v>
      </c>
      <c r="AT70" s="17"/>
      <c r="AU70" s="30" t="s">
        <v>957</v>
      </c>
      <c r="AV70" s="14">
        <v>2010</v>
      </c>
      <c r="AW70" s="74"/>
      <c r="AX70" s="24" t="s">
        <v>958</v>
      </c>
      <c r="AY70" s="17" t="s">
        <v>101</v>
      </c>
    </row>
    <row r="71" spans="1:51" ht="12.75" customHeight="1" x14ac:dyDescent="0.25">
      <c r="A71" s="5">
        <v>70</v>
      </c>
      <c r="B71" s="9">
        <v>70</v>
      </c>
      <c r="C71" s="9" t="s">
        <v>959</v>
      </c>
      <c r="D71" s="57" t="str">
        <f>HYPERLINK("http://prodenv.dep.state.fl.us/DepNexus/public/electronic-documents/OG_70/facility!search","OG_70_Docs")</f>
        <v>OG_70_Docs</v>
      </c>
      <c r="E71" s="57" t="str">
        <f>HYPERLINK("https://ca.dep.state.fl.us/mapdirect/?focus=oilandgas&amp;zoom=query&amp;querytype=oilandgas&amp;queryvalues=OG_70","OG_70_Map")</f>
        <v>OG_70_Map</v>
      </c>
      <c r="F71" s="1" t="s">
        <v>103</v>
      </c>
      <c r="G71" s="1" t="s">
        <v>79</v>
      </c>
      <c r="H71" s="1" t="s">
        <v>936</v>
      </c>
      <c r="I71" s="1" t="s">
        <v>960</v>
      </c>
      <c r="J71" s="17" t="s">
        <v>82</v>
      </c>
      <c r="K71" s="17" t="s">
        <v>83</v>
      </c>
      <c r="L71" s="17"/>
      <c r="M71" s="17" t="s">
        <v>101</v>
      </c>
      <c r="N71" s="52" t="s">
        <v>193</v>
      </c>
      <c r="O71" s="17" t="s">
        <v>86</v>
      </c>
      <c r="P71" s="17" t="s">
        <v>86</v>
      </c>
      <c r="Q71" s="81" t="s">
        <v>961</v>
      </c>
      <c r="R71" s="11">
        <v>30.525641</v>
      </c>
      <c r="S71" s="11">
        <v>-85.171639999999996</v>
      </c>
      <c r="T71" s="11" t="s">
        <v>962</v>
      </c>
      <c r="U71" s="11" t="s">
        <v>963</v>
      </c>
      <c r="V71" s="17" t="s">
        <v>964</v>
      </c>
      <c r="W71" s="17" t="s">
        <v>110</v>
      </c>
      <c r="X71" s="71"/>
      <c r="Y71" s="70">
        <v>120</v>
      </c>
      <c r="Z71" s="13">
        <v>17475</v>
      </c>
      <c r="AA71" s="13">
        <v>17447</v>
      </c>
      <c r="AB71" s="13">
        <v>17460</v>
      </c>
      <c r="AC71" s="13">
        <v>17465</v>
      </c>
      <c r="AD71" s="86">
        <v>4873</v>
      </c>
      <c r="AE71" s="86">
        <v>4873</v>
      </c>
      <c r="AF71" s="88" t="s">
        <v>965</v>
      </c>
      <c r="AG71" s="17" t="s">
        <v>966</v>
      </c>
      <c r="AH71" s="23" t="s">
        <v>94</v>
      </c>
      <c r="AI71" s="70" t="s">
        <v>94</v>
      </c>
      <c r="AJ71" s="17" t="s">
        <v>94</v>
      </c>
      <c r="AK71" s="17" t="s">
        <v>95</v>
      </c>
      <c r="AL71" s="23" t="s">
        <v>967</v>
      </c>
      <c r="AM71" s="17" t="s">
        <v>94</v>
      </c>
      <c r="AN71" s="17" t="s">
        <v>94</v>
      </c>
      <c r="AO71" s="17" t="s">
        <v>98</v>
      </c>
      <c r="AP71" s="17" t="s">
        <v>98</v>
      </c>
      <c r="AQ71" s="17" t="s">
        <v>98</v>
      </c>
      <c r="AR71" s="17" t="s">
        <v>94</v>
      </c>
      <c r="AS71" s="17" t="s">
        <v>968</v>
      </c>
      <c r="AT71" s="17"/>
      <c r="AU71" s="30" t="s">
        <v>969</v>
      </c>
      <c r="AV71" s="14">
        <v>1610</v>
      </c>
      <c r="AW71" s="74"/>
      <c r="AX71" s="1"/>
      <c r="AY71" s="17" t="s">
        <v>101</v>
      </c>
    </row>
    <row r="72" spans="1:51" ht="12.75" customHeight="1" x14ac:dyDescent="0.25">
      <c r="A72" s="5">
        <v>71</v>
      </c>
      <c r="B72" s="9">
        <v>71</v>
      </c>
      <c r="C72" s="9" t="s">
        <v>970</v>
      </c>
      <c r="D72" s="57" t="str">
        <f>HYPERLINK("http://prodenv.dep.state.fl.us/DepNexus/public/electronic-documents/OG_71/facility!search","OG_71_Docs")</f>
        <v>OG_71_Docs</v>
      </c>
      <c r="E72" s="57" t="str">
        <f>HYPERLINK("https://ca.dep.state.fl.us/mapdirect/?focus=oilandgas&amp;zoom=query&amp;querytype=oilandgas&amp;queryvalues=OG_71","OG_71_Map")</f>
        <v>OG_71_Map</v>
      </c>
      <c r="F72" s="1" t="s">
        <v>971</v>
      </c>
      <c r="G72" s="1" t="s">
        <v>79</v>
      </c>
      <c r="H72" s="1" t="s">
        <v>936</v>
      </c>
      <c r="I72" s="1" t="s">
        <v>972</v>
      </c>
      <c r="J72" s="17" t="s">
        <v>82</v>
      </c>
      <c r="K72" s="17" t="s">
        <v>83</v>
      </c>
      <c r="L72" s="17"/>
      <c r="M72" s="17" t="s">
        <v>101</v>
      </c>
      <c r="N72" s="52" t="s">
        <v>193</v>
      </c>
      <c r="O72" s="17" t="s">
        <v>86</v>
      </c>
      <c r="P72" s="17" t="s">
        <v>86</v>
      </c>
      <c r="Q72" s="81" t="s">
        <v>973</v>
      </c>
      <c r="R72" s="11">
        <v>30.611008000000002</v>
      </c>
      <c r="S72" s="11">
        <v>-85.866310999999996</v>
      </c>
      <c r="T72" s="11" t="s">
        <v>974</v>
      </c>
      <c r="U72" s="11" t="s">
        <v>975</v>
      </c>
      <c r="V72" s="17" t="s">
        <v>976</v>
      </c>
      <c r="W72" s="17" t="s">
        <v>110</v>
      </c>
      <c r="X72" s="70">
        <v>80</v>
      </c>
      <c r="Y72" s="70"/>
      <c r="Z72" s="13">
        <v>17475</v>
      </c>
      <c r="AA72" s="13">
        <v>17471</v>
      </c>
      <c r="AB72" s="13">
        <v>17493</v>
      </c>
      <c r="AC72" s="13">
        <v>17493</v>
      </c>
      <c r="AD72" s="86">
        <v>6020</v>
      </c>
      <c r="AE72" s="86">
        <v>6020</v>
      </c>
      <c r="AF72" s="70" t="s">
        <v>977</v>
      </c>
      <c r="AG72" s="17" t="s">
        <v>978</v>
      </c>
      <c r="AH72" s="17" t="s">
        <v>94</v>
      </c>
      <c r="AI72" s="70" t="s">
        <v>94</v>
      </c>
      <c r="AJ72" s="17" t="s">
        <v>94</v>
      </c>
      <c r="AK72" s="17" t="s">
        <v>95</v>
      </c>
      <c r="AL72" s="17" t="s">
        <v>979</v>
      </c>
      <c r="AM72" s="17" t="s">
        <v>94</v>
      </c>
      <c r="AN72" s="17" t="s">
        <v>94</v>
      </c>
      <c r="AO72" s="17" t="s">
        <v>98</v>
      </c>
      <c r="AP72" s="17" t="s">
        <v>98</v>
      </c>
      <c r="AQ72" s="17" t="s">
        <v>98</v>
      </c>
      <c r="AR72" s="17" t="s">
        <v>94</v>
      </c>
      <c r="AS72" s="17" t="s">
        <v>980</v>
      </c>
      <c r="AT72" s="17"/>
      <c r="AU72" s="30" t="s">
        <v>981</v>
      </c>
      <c r="AV72" s="14">
        <v>1637</v>
      </c>
      <c r="AW72" s="74"/>
      <c r="AX72" s="1"/>
      <c r="AY72" s="17" t="s">
        <v>101</v>
      </c>
    </row>
    <row r="73" spans="1:51" ht="12.75" customHeight="1" x14ac:dyDescent="0.25">
      <c r="A73" s="5">
        <v>72</v>
      </c>
      <c r="B73" s="9">
        <v>72</v>
      </c>
      <c r="C73" s="9" t="s">
        <v>982</v>
      </c>
      <c r="D73" s="57" t="str">
        <f>HYPERLINK("http://prodenv.dep.state.fl.us/DepNexus/public/electronic-documents/OG_72/facility!search","OG_72_Docs")</f>
        <v>OG_72_Docs</v>
      </c>
      <c r="E73" s="57" t="str">
        <f>HYPERLINK("https://ca.dep.state.fl.us/mapdirect/?focus=oilandgas&amp;zoom=query&amp;querytype=oilandgas&amp;queryvalues=OG_72","OG_72_Map")</f>
        <v>OG_72_Map</v>
      </c>
      <c r="F73" s="1" t="s">
        <v>314</v>
      </c>
      <c r="G73" s="1" t="s">
        <v>79</v>
      </c>
      <c r="H73" s="1" t="s">
        <v>936</v>
      </c>
      <c r="I73" s="1" t="s">
        <v>983</v>
      </c>
      <c r="J73" s="17" t="s">
        <v>82</v>
      </c>
      <c r="K73" s="17" t="s">
        <v>83</v>
      </c>
      <c r="L73" s="17"/>
      <c r="M73" s="17" t="s">
        <v>101</v>
      </c>
      <c r="N73" s="52" t="s">
        <v>193</v>
      </c>
      <c r="O73" s="17" t="s">
        <v>86</v>
      </c>
      <c r="P73" s="17" t="s">
        <v>86</v>
      </c>
      <c r="Q73" s="81" t="s">
        <v>984</v>
      </c>
      <c r="R73" s="11">
        <v>30.426127999999999</v>
      </c>
      <c r="S73" s="11">
        <v>-85.997900000000001</v>
      </c>
      <c r="T73" s="11" t="s">
        <v>985</v>
      </c>
      <c r="U73" s="11" t="s">
        <v>986</v>
      </c>
      <c r="V73" s="17" t="s">
        <v>987</v>
      </c>
      <c r="W73" s="17" t="s">
        <v>110</v>
      </c>
      <c r="X73" s="70">
        <v>37</v>
      </c>
      <c r="Y73" s="70">
        <v>27</v>
      </c>
      <c r="Z73" s="13">
        <v>17517</v>
      </c>
      <c r="AA73" s="13">
        <v>17520</v>
      </c>
      <c r="AB73" s="13">
        <v>17544</v>
      </c>
      <c r="AC73" s="13">
        <v>17545</v>
      </c>
      <c r="AD73" s="86">
        <v>5477</v>
      </c>
      <c r="AE73" s="86">
        <v>5477</v>
      </c>
      <c r="AF73" s="70" t="s">
        <v>988</v>
      </c>
      <c r="AG73" s="17" t="s">
        <v>94</v>
      </c>
      <c r="AH73" s="17" t="s">
        <v>94</v>
      </c>
      <c r="AI73" s="70" t="s">
        <v>94</v>
      </c>
      <c r="AJ73" s="17" t="s">
        <v>94</v>
      </c>
      <c r="AK73" s="17" t="s">
        <v>95</v>
      </c>
      <c r="AL73" s="17" t="s">
        <v>989</v>
      </c>
      <c r="AM73" s="17" t="s">
        <v>94</v>
      </c>
      <c r="AN73" s="17" t="s">
        <v>94</v>
      </c>
      <c r="AO73" s="17" t="s">
        <v>98</v>
      </c>
      <c r="AP73" s="17" t="s">
        <v>98</v>
      </c>
      <c r="AQ73" s="17" t="s">
        <v>98</v>
      </c>
      <c r="AR73" s="17" t="s">
        <v>94</v>
      </c>
      <c r="AS73" s="17" t="s">
        <v>990</v>
      </c>
      <c r="AT73" s="17" t="s">
        <v>98</v>
      </c>
      <c r="AU73" s="30" t="s">
        <v>991</v>
      </c>
      <c r="AV73" s="14">
        <v>1657</v>
      </c>
      <c r="AW73" s="74"/>
      <c r="AX73" s="1"/>
      <c r="AY73" s="17" t="s">
        <v>101</v>
      </c>
    </row>
    <row r="74" spans="1:51" ht="12.75" customHeight="1" x14ac:dyDescent="0.25">
      <c r="A74" s="5">
        <v>73</v>
      </c>
      <c r="B74" s="9">
        <v>73</v>
      </c>
      <c r="C74" s="9" t="s">
        <v>992</v>
      </c>
      <c r="D74" s="57" t="str">
        <f>HYPERLINK("http://prodenv.dep.state.fl.us/DepNexus/public/electronic-documents/OG_73/facility!search","OG_73_Docs")</f>
        <v>OG_73_Docs</v>
      </c>
      <c r="E74" s="57" t="str">
        <f>HYPERLINK("https://ca.dep.state.fl.us/mapdirect/?focus=oilandgas&amp;zoom=query&amp;querytype=oilandgas&amp;queryvalues=OG_73","OG_73_Map")</f>
        <v>OG_73_Map</v>
      </c>
      <c r="F74" s="1" t="s">
        <v>971</v>
      </c>
      <c r="G74" s="1" t="s">
        <v>79</v>
      </c>
      <c r="H74" s="1" t="s">
        <v>993</v>
      </c>
      <c r="I74" s="1" t="s">
        <v>994</v>
      </c>
      <c r="J74" s="17" t="s">
        <v>82</v>
      </c>
      <c r="K74" s="17" t="s">
        <v>83</v>
      </c>
      <c r="L74" s="17"/>
      <c r="M74" s="17" t="s">
        <v>101</v>
      </c>
      <c r="N74" s="52" t="s">
        <v>193</v>
      </c>
      <c r="O74" s="17" t="s">
        <v>86</v>
      </c>
      <c r="P74" s="17" t="s">
        <v>86</v>
      </c>
      <c r="Q74" s="81" t="s">
        <v>995</v>
      </c>
      <c r="R74" s="11">
        <v>30.667814</v>
      </c>
      <c r="S74" s="11">
        <v>-85.545344</v>
      </c>
      <c r="T74" s="11" t="s">
        <v>996</v>
      </c>
      <c r="U74" s="11" t="s">
        <v>997</v>
      </c>
      <c r="V74" s="17" t="s">
        <v>998</v>
      </c>
      <c r="W74" s="17" t="s">
        <v>110</v>
      </c>
      <c r="X74" s="70">
        <v>175</v>
      </c>
      <c r="Y74" s="70">
        <v>160</v>
      </c>
      <c r="Z74" s="13">
        <v>17548</v>
      </c>
      <c r="AA74" s="13">
        <v>17550</v>
      </c>
      <c r="AB74" s="13">
        <v>17571</v>
      </c>
      <c r="AC74" s="13">
        <v>17571</v>
      </c>
      <c r="AD74" s="86">
        <v>5503</v>
      </c>
      <c r="AE74" s="86">
        <v>5503</v>
      </c>
      <c r="AF74" s="70" t="s">
        <v>94</v>
      </c>
      <c r="AG74" s="40" t="s">
        <v>999</v>
      </c>
      <c r="AH74" s="17" t="s">
        <v>94</v>
      </c>
      <c r="AI74" s="70" t="s">
        <v>94</v>
      </c>
      <c r="AJ74" s="17" t="s">
        <v>94</v>
      </c>
      <c r="AK74" s="17" t="s">
        <v>95</v>
      </c>
      <c r="AL74" s="17" t="s">
        <v>1000</v>
      </c>
      <c r="AM74" s="17" t="s">
        <v>94</v>
      </c>
      <c r="AN74" s="17" t="s">
        <v>94</v>
      </c>
      <c r="AO74" s="17" t="s">
        <v>98</v>
      </c>
      <c r="AP74" s="17" t="s">
        <v>98</v>
      </c>
      <c r="AQ74" s="17" t="s">
        <v>98</v>
      </c>
      <c r="AR74" s="17" t="s">
        <v>94</v>
      </c>
      <c r="AS74" s="17" t="s">
        <v>1001</v>
      </c>
      <c r="AT74" s="17"/>
      <c r="AU74" s="30" t="s">
        <v>1002</v>
      </c>
      <c r="AV74" s="14">
        <v>1661</v>
      </c>
      <c r="AW74" s="74"/>
      <c r="AX74" s="1"/>
      <c r="AY74" s="17" t="s">
        <v>101</v>
      </c>
    </row>
    <row r="75" spans="1:51" ht="12.75" customHeight="1" x14ac:dyDescent="0.25">
      <c r="A75" s="5">
        <v>74</v>
      </c>
      <c r="B75" s="9">
        <v>74</v>
      </c>
      <c r="C75" s="9" t="s">
        <v>1003</v>
      </c>
      <c r="D75" s="57" t="str">
        <f>HYPERLINK("http://prodenv.dep.state.fl.us/DepNexus/public/electronic-documents/OG_74/facility!search","OG_74_Docs")</f>
        <v>OG_74_Docs</v>
      </c>
      <c r="E75" s="57" t="str">
        <f>HYPERLINK("https://ca.dep.state.fl.us/mapdirect/?focus=oilandgas&amp;zoom=query&amp;querytype=oilandgas&amp;queryvalues=OG_74","OG_74_Map")</f>
        <v>OG_74_Map</v>
      </c>
      <c r="F75" s="1" t="s">
        <v>314</v>
      </c>
      <c r="G75" s="1" t="s">
        <v>79</v>
      </c>
      <c r="H75" s="1" t="s">
        <v>993</v>
      </c>
      <c r="I75" s="1" t="s">
        <v>316</v>
      </c>
      <c r="J75" s="17" t="s">
        <v>82</v>
      </c>
      <c r="K75" s="17" t="s">
        <v>83</v>
      </c>
      <c r="L75" s="17"/>
      <c r="M75" s="17" t="s">
        <v>101</v>
      </c>
      <c r="N75" s="52" t="s">
        <v>86</v>
      </c>
      <c r="O75" s="17" t="s">
        <v>86</v>
      </c>
      <c r="P75" s="17" t="s">
        <v>86</v>
      </c>
      <c r="Q75" s="81" t="s">
        <v>317</v>
      </c>
      <c r="R75" s="11">
        <v>30.574966</v>
      </c>
      <c r="S75" s="11">
        <v>-86.020669999999996</v>
      </c>
      <c r="T75" s="11" t="s">
        <v>1004</v>
      </c>
      <c r="U75" s="11" t="s">
        <v>1005</v>
      </c>
      <c r="V75" s="17" t="s">
        <v>1006</v>
      </c>
      <c r="W75" s="17" t="s">
        <v>110</v>
      </c>
      <c r="X75" s="70"/>
      <c r="Y75" s="70">
        <v>131</v>
      </c>
      <c r="Z75" s="13">
        <v>17566</v>
      </c>
      <c r="AA75" s="13">
        <v>17568</v>
      </c>
      <c r="AB75" s="13">
        <v>17605</v>
      </c>
      <c r="AC75" s="13">
        <v>17608</v>
      </c>
      <c r="AD75" s="86">
        <v>2505</v>
      </c>
      <c r="AE75" s="86">
        <v>2505</v>
      </c>
      <c r="AF75" s="70" t="s">
        <v>94</v>
      </c>
      <c r="AG75" s="17" t="s">
        <v>1007</v>
      </c>
      <c r="AH75" s="17" t="s">
        <v>94</v>
      </c>
      <c r="AI75" s="70" t="s">
        <v>94</v>
      </c>
      <c r="AJ75" s="17" t="s">
        <v>94</v>
      </c>
      <c r="AK75" s="17" t="s">
        <v>95</v>
      </c>
      <c r="AL75" s="17" t="s">
        <v>1008</v>
      </c>
      <c r="AM75" s="17" t="s">
        <v>94</v>
      </c>
      <c r="AN75" s="17" t="s">
        <v>94</v>
      </c>
      <c r="AO75" s="17" t="s">
        <v>98</v>
      </c>
      <c r="AP75" s="17" t="s">
        <v>98</v>
      </c>
      <c r="AQ75" s="17" t="s">
        <v>98</v>
      </c>
      <c r="AR75" s="17" t="s">
        <v>94</v>
      </c>
      <c r="AS75" s="17" t="s">
        <v>1009</v>
      </c>
      <c r="AT75" s="17" t="s">
        <v>98</v>
      </c>
      <c r="AU75" s="30" t="s">
        <v>1010</v>
      </c>
      <c r="AV75" s="14">
        <v>1695</v>
      </c>
      <c r="AW75" s="74"/>
      <c r="AX75" s="1"/>
      <c r="AY75" s="17" t="s">
        <v>101</v>
      </c>
    </row>
    <row r="76" spans="1:51" ht="12.75" customHeight="1" x14ac:dyDescent="0.25">
      <c r="A76" s="5">
        <v>75</v>
      </c>
      <c r="B76" s="9">
        <v>75</v>
      </c>
      <c r="C76" s="9" t="s">
        <v>1011</v>
      </c>
      <c r="D76" s="57" t="str">
        <f>HYPERLINK("http://prodenv.dep.state.fl.us/DepNexus/public/electronic-documents/OG_75/facility!search","OG_75_Docs")</f>
        <v>OG_75_Docs</v>
      </c>
      <c r="E76" s="57" t="str">
        <f>HYPERLINK("https://ca.dep.state.fl.us/mapdirect/?focus=oilandgas&amp;zoom=query&amp;querytype=oilandgas&amp;queryvalues=OG_75","OG_75_Map")</f>
        <v>OG_75_Map</v>
      </c>
      <c r="F76" s="1" t="s">
        <v>1012</v>
      </c>
      <c r="G76" s="1" t="s">
        <v>79</v>
      </c>
      <c r="H76" s="1" t="s">
        <v>909</v>
      </c>
      <c r="I76" s="1" t="s">
        <v>1013</v>
      </c>
      <c r="J76" s="17" t="s">
        <v>82</v>
      </c>
      <c r="K76" s="17" t="s">
        <v>83</v>
      </c>
      <c r="L76" s="17"/>
      <c r="M76" s="17" t="s">
        <v>101</v>
      </c>
      <c r="N76" s="52" t="s">
        <v>1014</v>
      </c>
      <c r="O76" s="17" t="s">
        <v>86</v>
      </c>
      <c r="P76" s="17" t="s">
        <v>86</v>
      </c>
      <c r="Q76" s="81" t="s">
        <v>1015</v>
      </c>
      <c r="R76" s="11">
        <v>27.881028000000001</v>
      </c>
      <c r="S76" s="11">
        <v>-82.638321000000005</v>
      </c>
      <c r="T76" s="11" t="s">
        <v>1016</v>
      </c>
      <c r="U76" s="11" t="s">
        <v>1017</v>
      </c>
      <c r="V76" s="17" t="s">
        <v>1018</v>
      </c>
      <c r="W76" s="17" t="s">
        <v>110</v>
      </c>
      <c r="X76" s="70">
        <v>15</v>
      </c>
      <c r="Y76" s="70">
        <v>2.4</v>
      </c>
      <c r="Z76" s="13">
        <v>17566</v>
      </c>
      <c r="AA76" s="13">
        <v>17576</v>
      </c>
      <c r="AB76" s="13">
        <v>17722</v>
      </c>
      <c r="AC76" s="13">
        <v>17722</v>
      </c>
      <c r="AD76" s="86">
        <v>11507</v>
      </c>
      <c r="AE76" s="86">
        <v>11507</v>
      </c>
      <c r="AF76" s="70" t="s">
        <v>1019</v>
      </c>
      <c r="AG76" s="17" t="s">
        <v>1020</v>
      </c>
      <c r="AH76" s="17" t="s">
        <v>1021</v>
      </c>
      <c r="AI76" s="70" t="s">
        <v>94</v>
      </c>
      <c r="AJ76" s="17" t="s">
        <v>94</v>
      </c>
      <c r="AK76" s="17" t="s">
        <v>95</v>
      </c>
      <c r="AL76" s="17" t="s">
        <v>1022</v>
      </c>
      <c r="AM76" s="17" t="s">
        <v>94</v>
      </c>
      <c r="AN76" s="17" t="s">
        <v>86</v>
      </c>
      <c r="AO76" s="17" t="s">
        <v>98</v>
      </c>
      <c r="AP76" s="17" t="s">
        <v>98</v>
      </c>
      <c r="AQ76" s="17" t="s">
        <v>98</v>
      </c>
      <c r="AR76" s="17" t="s">
        <v>94</v>
      </c>
      <c r="AS76" s="17" t="s">
        <v>1023</v>
      </c>
      <c r="AT76" s="17">
        <v>216</v>
      </c>
      <c r="AU76" s="30" t="s">
        <v>1024</v>
      </c>
      <c r="AV76" s="14">
        <v>1669</v>
      </c>
      <c r="AW76" s="74"/>
      <c r="AX76" s="1"/>
      <c r="AY76" s="17" t="s">
        <v>101</v>
      </c>
    </row>
    <row r="77" spans="1:51" ht="12.75" customHeight="1" x14ac:dyDescent="0.25">
      <c r="A77" s="5">
        <v>76</v>
      </c>
      <c r="B77" s="9">
        <v>76</v>
      </c>
      <c r="C77" s="9" t="s">
        <v>1025</v>
      </c>
      <c r="D77" s="57" t="str">
        <f>HYPERLINK("http://prodenv.dep.state.fl.us/DepNexus/public/electronic-documents/OG_76/facility!search","OG_76_Docs")</f>
        <v>OG_76_Docs</v>
      </c>
      <c r="E77" s="57" t="str">
        <f>HYPERLINK("https://ca.dep.state.fl.us/mapdirect/?focus=oilandgas&amp;zoom=query&amp;querytype=oilandgas&amp;queryvalues=OG_76","OG_76_Map")</f>
        <v>OG_76_Map</v>
      </c>
      <c r="F77" s="1" t="s">
        <v>265</v>
      </c>
      <c r="G77" s="1" t="s">
        <v>266</v>
      </c>
      <c r="H77" s="1" t="s">
        <v>176</v>
      </c>
      <c r="I77" s="1" t="s">
        <v>1026</v>
      </c>
      <c r="J77" s="17" t="s">
        <v>82</v>
      </c>
      <c r="K77" s="17" t="s">
        <v>83</v>
      </c>
      <c r="L77" s="17"/>
      <c r="M77" s="17"/>
      <c r="N77" s="52" t="s">
        <v>193</v>
      </c>
      <c r="O77" s="17" t="s">
        <v>270</v>
      </c>
      <c r="P77" s="17" t="s">
        <v>86</v>
      </c>
      <c r="Q77" s="81" t="s">
        <v>1027</v>
      </c>
      <c r="R77" s="11">
        <v>26.283518000000001</v>
      </c>
      <c r="S77" s="11">
        <v>-81.327828999999994</v>
      </c>
      <c r="T77" s="11" t="s">
        <v>1028</v>
      </c>
      <c r="U77" s="11" t="s">
        <v>1029</v>
      </c>
      <c r="V77" s="17" t="s">
        <v>1030</v>
      </c>
      <c r="W77" s="17" t="s">
        <v>110</v>
      </c>
      <c r="X77" s="70">
        <v>36.799999999999997</v>
      </c>
      <c r="Y77" s="70">
        <v>20</v>
      </c>
      <c r="Z77" s="13">
        <v>17576</v>
      </c>
      <c r="AA77" s="13">
        <v>17562</v>
      </c>
      <c r="AB77" s="13">
        <v>17642</v>
      </c>
      <c r="AC77" s="13">
        <v>17687</v>
      </c>
      <c r="AD77" s="86">
        <v>11709</v>
      </c>
      <c r="AE77" s="86">
        <v>11709</v>
      </c>
      <c r="AF77" s="70" t="s">
        <v>1031</v>
      </c>
      <c r="AG77" s="17" t="s">
        <v>1032</v>
      </c>
      <c r="AH77" s="17" t="s">
        <v>1033</v>
      </c>
      <c r="AI77" s="70" t="s">
        <v>94</v>
      </c>
      <c r="AJ77" s="17" t="s">
        <v>94</v>
      </c>
      <c r="AK77" s="17" t="s">
        <v>95</v>
      </c>
      <c r="AL77" s="17" t="s">
        <v>1034</v>
      </c>
      <c r="AM77" s="17" t="s">
        <v>94</v>
      </c>
      <c r="AN77" s="17" t="s">
        <v>1035</v>
      </c>
      <c r="AO77" s="17" t="s">
        <v>1036</v>
      </c>
      <c r="AP77" s="17" t="s">
        <v>94</v>
      </c>
      <c r="AQ77" s="17" t="s">
        <v>1037</v>
      </c>
      <c r="AR77" s="17" t="s">
        <v>94</v>
      </c>
      <c r="AS77" s="17" t="s">
        <v>1038</v>
      </c>
      <c r="AT77" s="17">
        <v>178</v>
      </c>
      <c r="AU77" s="30" t="s">
        <v>1039</v>
      </c>
      <c r="AV77" s="14">
        <v>1718</v>
      </c>
      <c r="AW77" s="74"/>
      <c r="AX77" s="1"/>
      <c r="AY77" s="17" t="s">
        <v>101</v>
      </c>
    </row>
    <row r="78" spans="1:51" ht="12.75" customHeight="1" x14ac:dyDescent="0.25">
      <c r="A78" s="5">
        <v>77</v>
      </c>
      <c r="B78" s="9">
        <v>77</v>
      </c>
      <c r="C78" s="9" t="s">
        <v>1040</v>
      </c>
      <c r="D78" s="57" t="str">
        <f>HYPERLINK("http://prodenv.dep.state.fl.us/DepNexus/public/electronic-documents/OG_77/facility!search","OG_77_Docs")</f>
        <v>OG_77_Docs</v>
      </c>
      <c r="E78" s="57" t="str">
        <f>HYPERLINK("https://ca.dep.state.fl.us/mapdirect/?focus=oilandgas&amp;zoom=query&amp;querytype=oilandgas&amp;queryvalues=OG_77","OG_77_Map")</f>
        <v>OG_77_Map</v>
      </c>
      <c r="F78" s="1" t="s">
        <v>1041</v>
      </c>
      <c r="G78" s="1" t="s">
        <v>79</v>
      </c>
      <c r="H78" s="1" t="s">
        <v>176</v>
      </c>
      <c r="I78" s="1" t="s">
        <v>1042</v>
      </c>
      <c r="J78" s="17" t="s">
        <v>82</v>
      </c>
      <c r="K78" s="17" t="s">
        <v>83</v>
      </c>
      <c r="L78" s="17"/>
      <c r="M78" s="17" t="s">
        <v>84</v>
      </c>
      <c r="N78" s="52" t="s">
        <v>130</v>
      </c>
      <c r="O78" s="17" t="s">
        <v>86</v>
      </c>
      <c r="P78" s="17" t="s">
        <v>86</v>
      </c>
      <c r="Q78" s="81" t="s">
        <v>1043</v>
      </c>
      <c r="R78" s="11">
        <v>30.479099999999999</v>
      </c>
      <c r="S78" s="11">
        <v>-82.602502000000001</v>
      </c>
      <c r="T78" s="11" t="s">
        <v>1044</v>
      </c>
      <c r="U78" s="11" t="s">
        <v>1045</v>
      </c>
      <c r="V78" s="17" t="s">
        <v>976</v>
      </c>
      <c r="W78" s="17" t="s">
        <v>110</v>
      </c>
      <c r="X78" s="70">
        <v>141</v>
      </c>
      <c r="Y78" s="70"/>
      <c r="Z78" s="13">
        <v>17601</v>
      </c>
      <c r="AA78" s="13">
        <v>17588</v>
      </c>
      <c r="AB78" s="13">
        <v>17727</v>
      </c>
      <c r="AC78" s="13">
        <v>17789</v>
      </c>
      <c r="AD78" s="86">
        <v>4444</v>
      </c>
      <c r="AE78" s="86">
        <v>4444</v>
      </c>
      <c r="AF78" s="70" t="s">
        <v>1046</v>
      </c>
      <c r="AG78" s="17" t="s">
        <v>1047</v>
      </c>
      <c r="AH78" s="17" t="s">
        <v>1048</v>
      </c>
      <c r="AI78" s="70" t="s">
        <v>1049</v>
      </c>
      <c r="AJ78" s="17" t="s">
        <v>94</v>
      </c>
      <c r="AK78" s="17" t="s">
        <v>95</v>
      </c>
      <c r="AL78" s="17" t="s">
        <v>1050</v>
      </c>
      <c r="AM78" s="17" t="s">
        <v>94</v>
      </c>
      <c r="AN78" s="17" t="s">
        <v>1051</v>
      </c>
      <c r="AO78" s="17" t="s">
        <v>98</v>
      </c>
      <c r="AP78" s="17" t="s">
        <v>98</v>
      </c>
      <c r="AQ78" s="17" t="s">
        <v>98</v>
      </c>
      <c r="AR78" s="17" t="s">
        <v>94</v>
      </c>
      <c r="AS78" s="17" t="s">
        <v>1052</v>
      </c>
      <c r="AT78" s="17"/>
      <c r="AU78" s="30" t="s">
        <v>1053</v>
      </c>
      <c r="AV78" s="14">
        <v>1789</v>
      </c>
      <c r="AW78" s="74"/>
      <c r="AX78" s="1"/>
      <c r="AY78" s="17" t="s">
        <v>101</v>
      </c>
    </row>
    <row r="79" spans="1:51" ht="12.75" customHeight="1" x14ac:dyDescent="0.25">
      <c r="A79" s="5">
        <v>78</v>
      </c>
      <c r="B79" s="9">
        <v>78</v>
      </c>
      <c r="C79" s="9" t="s">
        <v>1054</v>
      </c>
      <c r="D79" s="57" t="str">
        <f>HYPERLINK("http://prodenv.dep.state.fl.us/DepNexus/public/electronic-documents/OG_78/facility!search","OG_78_Docs")</f>
        <v>OG_78_Docs</v>
      </c>
      <c r="E79" s="57" t="str">
        <f>HYPERLINK("https://ca.dep.state.fl.us/mapdirect/?focus=oilandgas&amp;zoom=query&amp;querytype=oilandgas&amp;queryvalues=OG_78","OG_78_Map")</f>
        <v>OG_78_Map</v>
      </c>
      <c r="F79" s="1" t="s">
        <v>327</v>
      </c>
      <c r="G79" s="1" t="s">
        <v>79</v>
      </c>
      <c r="H79" s="1" t="s">
        <v>1055</v>
      </c>
      <c r="I79" s="1" t="s">
        <v>1056</v>
      </c>
      <c r="J79" s="17" t="s">
        <v>82</v>
      </c>
      <c r="K79" s="17" t="s">
        <v>83</v>
      </c>
      <c r="L79" s="17"/>
      <c r="M79" s="17" t="s">
        <v>101</v>
      </c>
      <c r="N79" s="52" t="s">
        <v>193</v>
      </c>
      <c r="O79" s="17" t="s">
        <v>86</v>
      </c>
      <c r="P79" s="17" t="s">
        <v>86</v>
      </c>
      <c r="Q79" s="81" t="s">
        <v>1057</v>
      </c>
      <c r="R79" s="11">
        <v>29.230211000000001</v>
      </c>
      <c r="S79" s="11">
        <v>-81.265835999999993</v>
      </c>
      <c r="T79" s="11" t="s">
        <v>1058</v>
      </c>
      <c r="U79" s="11" t="s">
        <v>1059</v>
      </c>
      <c r="V79" s="17" t="s">
        <v>1060</v>
      </c>
      <c r="W79" s="17" t="s">
        <v>110</v>
      </c>
      <c r="X79" s="70">
        <v>44</v>
      </c>
      <c r="Y79" s="70">
        <v>35</v>
      </c>
      <c r="Z79" s="13">
        <v>17818</v>
      </c>
      <c r="AA79" s="13">
        <v>17820</v>
      </c>
      <c r="AB79" s="13">
        <v>17930</v>
      </c>
      <c r="AC79" s="13">
        <v>17930</v>
      </c>
      <c r="AD79" s="86">
        <v>5425</v>
      </c>
      <c r="AE79" s="86">
        <v>5425</v>
      </c>
      <c r="AF79" s="70" t="s">
        <v>1061</v>
      </c>
      <c r="AG79" s="17" t="s">
        <v>587</v>
      </c>
      <c r="AH79" s="17" t="s">
        <v>1062</v>
      </c>
      <c r="AI79" s="70" t="s">
        <v>1063</v>
      </c>
      <c r="AJ79" s="17" t="s">
        <v>94</v>
      </c>
      <c r="AK79" s="17" t="s">
        <v>95</v>
      </c>
      <c r="AL79" s="17" t="s">
        <v>1064</v>
      </c>
      <c r="AM79" s="17" t="s">
        <v>94</v>
      </c>
      <c r="AN79" s="17" t="s">
        <v>94</v>
      </c>
      <c r="AO79" s="17" t="s">
        <v>98</v>
      </c>
      <c r="AP79" s="17" t="s">
        <v>98</v>
      </c>
      <c r="AQ79" s="17" t="s">
        <v>98</v>
      </c>
      <c r="AR79" s="17" t="s">
        <v>94</v>
      </c>
      <c r="AS79" s="17" t="s">
        <v>1065</v>
      </c>
      <c r="AT79" s="17">
        <v>74</v>
      </c>
      <c r="AU79" s="30" t="s">
        <v>1066</v>
      </c>
      <c r="AV79" s="14">
        <v>1746</v>
      </c>
      <c r="AW79" s="74"/>
      <c r="AX79" s="1" t="s">
        <v>1067</v>
      </c>
      <c r="AY79" s="17" t="s">
        <v>101</v>
      </c>
    </row>
    <row r="80" spans="1:51" ht="12.75" customHeight="1" x14ac:dyDescent="0.25">
      <c r="A80" s="5">
        <v>79</v>
      </c>
      <c r="B80" s="9">
        <v>79</v>
      </c>
      <c r="C80" s="9" t="s">
        <v>1068</v>
      </c>
      <c r="D80" s="57" t="str">
        <f>HYPERLINK("http://prodenv.dep.state.fl.us/DepNexus/public/electronic-documents/OG_79/facility!search","OG_79_Docs")</f>
        <v>OG_79_Docs</v>
      </c>
      <c r="E80" s="57" t="str">
        <f>HYPERLINK("https://ca.dep.state.fl.us/mapdirect/?focus=oilandgas&amp;zoom=query&amp;querytype=oilandgas&amp;queryvalues=OG_79","OG_79_Map")</f>
        <v>OG_79_Map</v>
      </c>
      <c r="F80" s="1" t="s">
        <v>971</v>
      </c>
      <c r="G80" s="1" t="s">
        <v>79</v>
      </c>
      <c r="H80" s="1" t="s">
        <v>936</v>
      </c>
      <c r="I80" s="1" t="s">
        <v>1069</v>
      </c>
      <c r="J80" s="17" t="s">
        <v>82</v>
      </c>
      <c r="K80" s="17" t="s">
        <v>83</v>
      </c>
      <c r="L80" s="17"/>
      <c r="M80" s="17" t="s">
        <v>101</v>
      </c>
      <c r="N80" s="52" t="s">
        <v>193</v>
      </c>
      <c r="O80" s="17" t="s">
        <v>86</v>
      </c>
      <c r="P80" s="17" t="s">
        <v>86</v>
      </c>
      <c r="Q80" s="81" t="s">
        <v>1070</v>
      </c>
      <c r="R80" s="11">
        <v>30.527173000000001</v>
      </c>
      <c r="S80" s="11">
        <v>-85.584520999999995</v>
      </c>
      <c r="T80" s="11" t="s">
        <v>1071</v>
      </c>
      <c r="U80" s="11" t="s">
        <v>1072</v>
      </c>
      <c r="V80" s="17" t="s">
        <v>1073</v>
      </c>
      <c r="W80" s="17" t="s">
        <v>110</v>
      </c>
      <c r="X80" s="70">
        <v>155</v>
      </c>
      <c r="Y80" s="70">
        <v>125</v>
      </c>
      <c r="Z80" s="13">
        <v>17636</v>
      </c>
      <c r="AA80" s="13">
        <v>17638</v>
      </c>
      <c r="AB80" s="13">
        <v>17662</v>
      </c>
      <c r="AC80" s="13">
        <v>17663</v>
      </c>
      <c r="AD80" s="86">
        <v>4826</v>
      </c>
      <c r="AE80" s="86">
        <v>4826</v>
      </c>
      <c r="AF80" s="70" t="s">
        <v>1074</v>
      </c>
      <c r="AG80" s="17" t="s">
        <v>1075</v>
      </c>
      <c r="AH80" s="17" t="s">
        <v>94</v>
      </c>
      <c r="AI80" s="70" t="s">
        <v>94</v>
      </c>
      <c r="AJ80" s="17" t="s">
        <v>94</v>
      </c>
      <c r="AK80" s="17" t="s">
        <v>95</v>
      </c>
      <c r="AL80" s="17" t="s">
        <v>1076</v>
      </c>
      <c r="AM80" s="17" t="s">
        <v>94</v>
      </c>
      <c r="AN80" s="17" t="s">
        <v>94</v>
      </c>
      <c r="AO80" s="17" t="s">
        <v>98</v>
      </c>
      <c r="AP80" s="17" t="s">
        <v>98</v>
      </c>
      <c r="AQ80" s="17" t="s">
        <v>98</v>
      </c>
      <c r="AR80" s="17" t="s">
        <v>94</v>
      </c>
      <c r="AS80" s="17" t="s">
        <v>1077</v>
      </c>
      <c r="AT80" s="17"/>
      <c r="AU80" s="30" t="s">
        <v>1078</v>
      </c>
      <c r="AV80" s="14">
        <v>1758</v>
      </c>
      <c r="AW80" s="74"/>
      <c r="AX80" s="1" t="s">
        <v>1079</v>
      </c>
      <c r="AY80" s="17" t="s">
        <v>101</v>
      </c>
    </row>
    <row r="81" spans="1:51" ht="15" customHeight="1" x14ac:dyDescent="0.25">
      <c r="A81" s="5">
        <v>80</v>
      </c>
      <c r="B81" s="9">
        <v>80</v>
      </c>
      <c r="C81" s="9" t="s">
        <v>1080</v>
      </c>
      <c r="D81" s="57" t="str">
        <f>HYPERLINK("http://prodenv.dep.state.fl.us/DepNexus/public/electronic-documents/OG_80/facility!search","OG_80_Docs")</f>
        <v>OG_80_Docs</v>
      </c>
      <c r="E81" s="57" t="str">
        <f>HYPERLINK("https://ca.dep.state.fl.us/mapdirect/?focus=oilandgas&amp;zoom=query&amp;querytype=oilandgas&amp;queryvalues=OG_80","OG_80_Map")</f>
        <v>OG_80_Map</v>
      </c>
      <c r="F81" s="1" t="s">
        <v>265</v>
      </c>
      <c r="G81" s="1" t="s">
        <v>266</v>
      </c>
      <c r="H81" s="1" t="s">
        <v>176</v>
      </c>
      <c r="I81" s="1" t="s">
        <v>1081</v>
      </c>
      <c r="J81" s="17" t="s">
        <v>268</v>
      </c>
      <c r="K81" s="17" t="s">
        <v>412</v>
      </c>
      <c r="L81" s="17"/>
      <c r="M81" s="17"/>
      <c r="N81" s="52" t="s">
        <v>193</v>
      </c>
      <c r="O81" s="17" t="s">
        <v>270</v>
      </c>
      <c r="P81" s="17" t="s">
        <v>86</v>
      </c>
      <c r="Q81" s="81" t="s">
        <v>1082</v>
      </c>
      <c r="R81" s="11">
        <v>26.293724000000001</v>
      </c>
      <c r="S81" s="11">
        <v>-81.365420999999998</v>
      </c>
      <c r="T81" s="11" t="s">
        <v>1083</v>
      </c>
      <c r="U81" s="11" t="s">
        <v>1084</v>
      </c>
      <c r="V81" s="17" t="s">
        <v>809</v>
      </c>
      <c r="W81" s="17" t="s">
        <v>110</v>
      </c>
      <c r="X81" s="70">
        <v>39</v>
      </c>
      <c r="Y81" s="70">
        <v>20</v>
      </c>
      <c r="Z81" s="13">
        <v>17649</v>
      </c>
      <c r="AA81" s="13">
        <v>17813</v>
      </c>
      <c r="AB81" s="13">
        <v>17892</v>
      </c>
      <c r="AC81" s="13">
        <v>29432</v>
      </c>
      <c r="AD81" s="86">
        <v>11573</v>
      </c>
      <c r="AE81" s="86">
        <v>11573</v>
      </c>
      <c r="AF81" s="70" t="s">
        <v>1085</v>
      </c>
      <c r="AG81" s="17" t="s">
        <v>1086</v>
      </c>
      <c r="AH81" s="17" t="s">
        <v>1087</v>
      </c>
      <c r="AI81" s="71" t="s">
        <v>1088</v>
      </c>
      <c r="AJ81" s="23" t="s">
        <v>1089</v>
      </c>
      <c r="AK81" s="17" t="s">
        <v>95</v>
      </c>
      <c r="AL81" s="17" t="s">
        <v>1090</v>
      </c>
      <c r="AM81" s="17" t="s">
        <v>94</v>
      </c>
      <c r="AN81" s="17" t="s">
        <v>1091</v>
      </c>
      <c r="AO81" s="17" t="s">
        <v>1092</v>
      </c>
      <c r="AP81" s="17" t="s">
        <v>1093</v>
      </c>
      <c r="AQ81" s="17" t="s">
        <v>1094</v>
      </c>
      <c r="AR81" s="17" t="s">
        <v>1095</v>
      </c>
      <c r="AS81" s="17" t="s">
        <v>1096</v>
      </c>
      <c r="AT81" s="17"/>
      <c r="AU81" s="30" t="s">
        <v>1097</v>
      </c>
      <c r="AV81" s="14">
        <v>1855</v>
      </c>
      <c r="AW81" s="74"/>
      <c r="AX81" s="1" t="s">
        <v>1098</v>
      </c>
      <c r="AY81" s="17" t="s">
        <v>101</v>
      </c>
    </row>
    <row r="82" spans="1:51" ht="12.75" customHeight="1" x14ac:dyDescent="0.25">
      <c r="A82" s="5">
        <v>81</v>
      </c>
      <c r="B82" s="9">
        <v>81</v>
      </c>
      <c r="C82" s="9" t="s">
        <v>1099</v>
      </c>
      <c r="D82" s="57" t="str">
        <f>HYPERLINK("http://prodenv.dep.state.fl.us/DepNexus/public/electronic-documents/OG_81/facility!search","OG_81_Docs")</f>
        <v>OG_81_Docs</v>
      </c>
      <c r="E82" s="57" t="str">
        <f>HYPERLINK("https://ca.dep.state.fl.us/mapdirect/?focus=oilandgas&amp;zoom=query&amp;querytype=oilandgas&amp;queryvalues=OG_81","OG_81_Map")</f>
        <v>OG_81_Map</v>
      </c>
      <c r="F82" s="1" t="s">
        <v>175</v>
      </c>
      <c r="G82" s="1" t="s">
        <v>79</v>
      </c>
      <c r="H82" s="1" t="s">
        <v>817</v>
      </c>
      <c r="I82" s="1" t="s">
        <v>1100</v>
      </c>
      <c r="J82" s="17" t="s">
        <v>82</v>
      </c>
      <c r="K82" s="17" t="s">
        <v>83</v>
      </c>
      <c r="L82" s="17"/>
      <c r="M82" s="17" t="s">
        <v>84</v>
      </c>
      <c r="N82" s="52" t="s">
        <v>193</v>
      </c>
      <c r="O82" s="17" t="s">
        <v>86</v>
      </c>
      <c r="P82" s="17" t="s">
        <v>86</v>
      </c>
      <c r="Q82" s="81" t="s">
        <v>1101</v>
      </c>
      <c r="R82" s="11">
        <v>28.274797</v>
      </c>
      <c r="S82" s="11">
        <v>-80.903667999999996</v>
      </c>
      <c r="T82" s="11" t="s">
        <v>1102</v>
      </c>
      <c r="U82" s="11" t="s">
        <v>1103</v>
      </c>
      <c r="V82" s="17" t="s">
        <v>1104</v>
      </c>
      <c r="W82" s="17" t="s">
        <v>110</v>
      </c>
      <c r="X82" s="70">
        <v>44</v>
      </c>
      <c r="Y82" s="70">
        <v>38</v>
      </c>
      <c r="Z82" s="13">
        <v>17707</v>
      </c>
      <c r="AA82" s="13">
        <v>17698</v>
      </c>
      <c r="AB82" s="13">
        <v>17766</v>
      </c>
      <c r="AC82" s="13">
        <v>17766</v>
      </c>
      <c r="AD82" s="86">
        <v>5856</v>
      </c>
      <c r="AE82" s="86">
        <v>5856</v>
      </c>
      <c r="AF82" s="70" t="s">
        <v>1105</v>
      </c>
      <c r="AG82" s="17" t="s">
        <v>1106</v>
      </c>
      <c r="AH82" s="17" t="s">
        <v>1107</v>
      </c>
      <c r="AI82" s="70" t="s">
        <v>1108</v>
      </c>
      <c r="AJ82" s="17" t="s">
        <v>94</v>
      </c>
      <c r="AK82" s="17" t="s">
        <v>95</v>
      </c>
      <c r="AL82" s="17" t="s">
        <v>86</v>
      </c>
      <c r="AM82" s="17" t="s">
        <v>94</v>
      </c>
      <c r="AN82" s="17" t="s">
        <v>94</v>
      </c>
      <c r="AO82" s="17" t="s">
        <v>98</v>
      </c>
      <c r="AP82" s="17" t="s">
        <v>98</v>
      </c>
      <c r="AQ82" s="17" t="s">
        <v>98</v>
      </c>
      <c r="AR82" s="17" t="s">
        <v>94</v>
      </c>
      <c r="AS82" s="17" t="s">
        <v>1109</v>
      </c>
      <c r="AT82" s="17">
        <v>122</v>
      </c>
      <c r="AU82" s="30" t="s">
        <v>1110</v>
      </c>
      <c r="AV82" s="14">
        <v>1770</v>
      </c>
      <c r="AW82" s="74"/>
      <c r="AX82" s="1" t="s">
        <v>1111</v>
      </c>
      <c r="AY82" s="17" t="s">
        <v>101</v>
      </c>
    </row>
    <row r="83" spans="1:51" ht="15" customHeight="1" x14ac:dyDescent="0.25">
      <c r="A83" s="5">
        <v>82</v>
      </c>
      <c r="B83" s="9">
        <v>82</v>
      </c>
      <c r="C83" s="9" t="s">
        <v>1112</v>
      </c>
      <c r="D83" s="57" t="str">
        <f>HYPERLINK("http://prodenv.dep.state.fl.us/DepNexus/public/electronic-documents/OG_82/facility!search","OG_82_Docs")</f>
        <v>OG_82_Docs</v>
      </c>
      <c r="E83" s="57" t="str">
        <f>HYPERLINK("https://ca.dep.state.fl.us/mapdirect/?focus=oilandgas&amp;zoom=query&amp;querytype=oilandgas&amp;queryvalues=OG_82","OG_82_Map")</f>
        <v>OG_82_Map</v>
      </c>
      <c r="F83" s="1" t="s">
        <v>265</v>
      </c>
      <c r="G83" s="1" t="s">
        <v>266</v>
      </c>
      <c r="H83" s="1" t="s">
        <v>176</v>
      </c>
      <c r="I83" s="1" t="s">
        <v>1113</v>
      </c>
      <c r="J83" s="17" t="s">
        <v>268</v>
      </c>
      <c r="K83" s="17" t="s">
        <v>412</v>
      </c>
      <c r="L83" s="17"/>
      <c r="M83" s="17"/>
      <c r="N83" s="52" t="s">
        <v>193</v>
      </c>
      <c r="O83" s="17" t="s">
        <v>270</v>
      </c>
      <c r="P83" s="17" t="s">
        <v>86</v>
      </c>
      <c r="Q83" s="81" t="s">
        <v>1114</v>
      </c>
      <c r="R83" s="11">
        <v>26.297357000000002</v>
      </c>
      <c r="S83" s="11">
        <v>-81.369544000000005</v>
      </c>
      <c r="T83" s="11" t="s">
        <v>1115</v>
      </c>
      <c r="U83" s="11" t="s">
        <v>1116</v>
      </c>
      <c r="V83" s="17" t="s">
        <v>1117</v>
      </c>
      <c r="W83" s="17" t="s">
        <v>110</v>
      </c>
      <c r="X83" s="70">
        <v>38.700000000000003</v>
      </c>
      <c r="Y83" s="70">
        <v>19</v>
      </c>
      <c r="Z83" s="13">
        <v>17776</v>
      </c>
      <c r="AA83" s="13">
        <v>17666</v>
      </c>
      <c r="AB83" s="13">
        <v>17798</v>
      </c>
      <c r="AC83" s="13">
        <v>32885</v>
      </c>
      <c r="AD83" s="86">
        <v>11588</v>
      </c>
      <c r="AE83" s="86">
        <v>11588</v>
      </c>
      <c r="AF83" s="70" t="s">
        <v>1031</v>
      </c>
      <c r="AG83" s="23" t="s">
        <v>1118</v>
      </c>
      <c r="AH83" s="17" t="s">
        <v>1119</v>
      </c>
      <c r="AI83" s="71" t="s">
        <v>874</v>
      </c>
      <c r="AJ83" s="23" t="s">
        <v>1120</v>
      </c>
      <c r="AK83" s="17" t="s">
        <v>95</v>
      </c>
      <c r="AL83" s="17" t="s">
        <v>1121</v>
      </c>
      <c r="AM83" s="17" t="s">
        <v>94</v>
      </c>
      <c r="AN83" s="17" t="s">
        <v>1122</v>
      </c>
      <c r="AO83" s="17" t="s">
        <v>1123</v>
      </c>
      <c r="AP83" s="17" t="s">
        <v>94</v>
      </c>
      <c r="AQ83" s="17" t="s">
        <v>1124</v>
      </c>
      <c r="AR83" s="17" t="s">
        <v>1125</v>
      </c>
      <c r="AS83" s="17" t="s">
        <v>1126</v>
      </c>
      <c r="AT83" s="17"/>
      <c r="AU83" s="30" t="s">
        <v>1127</v>
      </c>
      <c r="AV83" s="14">
        <v>1787</v>
      </c>
      <c r="AW83" s="74"/>
      <c r="AX83" s="1"/>
      <c r="AY83" s="17" t="s">
        <v>101</v>
      </c>
    </row>
    <row r="84" spans="1:51" ht="12.75" customHeight="1" x14ac:dyDescent="0.25">
      <c r="A84" s="5">
        <v>83</v>
      </c>
      <c r="B84" s="9">
        <v>83</v>
      </c>
      <c r="C84" s="9" t="s">
        <v>1128</v>
      </c>
      <c r="D84" s="57" t="str">
        <f>HYPERLINK("http://prodenv.dep.state.fl.us/DepNexus/public/electronic-documents/OG_83/facility!search","OG_83_Docs")</f>
        <v>OG_83_Docs</v>
      </c>
      <c r="E84" s="57" t="str">
        <f>HYPERLINK("https://ca.dep.state.fl.us/mapdirect/?focus=oilandgas&amp;zoom=query&amp;querytype=oilandgas&amp;queryvalues=OG_83","OG_83_Map")</f>
        <v>OG_83_Map</v>
      </c>
      <c r="F84" s="1" t="s">
        <v>486</v>
      </c>
      <c r="G84" s="1" t="s">
        <v>79</v>
      </c>
      <c r="H84" s="1" t="s">
        <v>1129</v>
      </c>
      <c r="I84" s="1" t="s">
        <v>1130</v>
      </c>
      <c r="J84" s="17" t="s">
        <v>82</v>
      </c>
      <c r="K84" s="17" t="s">
        <v>83</v>
      </c>
      <c r="L84" s="17"/>
      <c r="M84" s="17"/>
      <c r="N84" s="52" t="s">
        <v>130</v>
      </c>
      <c r="O84" s="17" t="s">
        <v>86</v>
      </c>
      <c r="P84" s="17" t="s">
        <v>86</v>
      </c>
      <c r="Q84" s="81" t="s">
        <v>1131</v>
      </c>
      <c r="R84" s="11">
        <v>30.589638999999998</v>
      </c>
      <c r="S84" s="11">
        <v>-84.780901</v>
      </c>
      <c r="T84" s="11" t="s">
        <v>1132</v>
      </c>
      <c r="U84" s="11" t="s">
        <v>1133</v>
      </c>
      <c r="V84" s="17" t="s">
        <v>1134</v>
      </c>
      <c r="W84" s="17" t="s">
        <v>110</v>
      </c>
      <c r="X84" s="70">
        <v>296</v>
      </c>
      <c r="Y84" s="70">
        <v>284</v>
      </c>
      <c r="Z84" s="13">
        <v>17685</v>
      </c>
      <c r="AA84" s="13">
        <v>17745</v>
      </c>
      <c r="AB84" s="13">
        <v>17761</v>
      </c>
      <c r="AC84" s="13">
        <v>17761</v>
      </c>
      <c r="AD84" s="86">
        <v>4223</v>
      </c>
      <c r="AE84" s="86">
        <v>4223</v>
      </c>
      <c r="AF84" s="70" t="s">
        <v>1135</v>
      </c>
      <c r="AG84" s="17" t="s">
        <v>94</v>
      </c>
      <c r="AH84" s="17" t="s">
        <v>94</v>
      </c>
      <c r="AI84" s="70" t="s">
        <v>94</v>
      </c>
      <c r="AJ84" s="17" t="s">
        <v>94</v>
      </c>
      <c r="AK84" s="17" t="s">
        <v>95</v>
      </c>
      <c r="AL84" s="17" t="s">
        <v>1136</v>
      </c>
      <c r="AM84" s="17" t="s">
        <v>94</v>
      </c>
      <c r="AN84" s="17" t="s">
        <v>94</v>
      </c>
      <c r="AO84" s="17" t="s">
        <v>98</v>
      </c>
      <c r="AP84" s="17" t="s">
        <v>98</v>
      </c>
      <c r="AQ84" s="17" t="s">
        <v>98</v>
      </c>
      <c r="AR84" s="17" t="s">
        <v>94</v>
      </c>
      <c r="AS84" s="17" t="s">
        <v>1137</v>
      </c>
      <c r="AT84" s="17">
        <v>135</v>
      </c>
      <c r="AU84" s="30" t="s">
        <v>1138</v>
      </c>
      <c r="AV84" s="14">
        <v>1786</v>
      </c>
      <c r="AW84" s="74"/>
      <c r="AX84" s="1"/>
      <c r="AY84" s="17" t="s">
        <v>101</v>
      </c>
    </row>
    <row r="85" spans="1:51" ht="12.75" customHeight="1" x14ac:dyDescent="0.25">
      <c r="A85" s="5">
        <v>84</v>
      </c>
      <c r="B85" s="9">
        <v>84</v>
      </c>
      <c r="C85" s="9" t="s">
        <v>1139</v>
      </c>
      <c r="D85" s="57" t="str">
        <f>HYPERLINK("http://prodenv.dep.state.fl.us/DepNexus/public/electronic-documents/OG_84/facility!search","OG_84_Docs")</f>
        <v>OG_84_Docs</v>
      </c>
      <c r="E85" s="57" t="str">
        <f>HYPERLINK("https://ca.dep.state.fl.us/mapdirect/?focus=oilandgas&amp;zoom=query&amp;querytype=oilandgas&amp;queryvalues=OG_84","OG_84_Map")</f>
        <v>OG_84_Map</v>
      </c>
      <c r="F85" s="1" t="s">
        <v>841</v>
      </c>
      <c r="G85" s="1" t="s">
        <v>79</v>
      </c>
      <c r="H85" s="1" t="s">
        <v>1140</v>
      </c>
      <c r="I85" s="1" t="s">
        <v>1141</v>
      </c>
      <c r="J85" s="17" t="s">
        <v>82</v>
      </c>
      <c r="K85" s="17" t="s">
        <v>83</v>
      </c>
      <c r="L85" s="17"/>
      <c r="M85" s="17"/>
      <c r="N85" s="52" t="s">
        <v>193</v>
      </c>
      <c r="O85" s="17" t="s">
        <v>86</v>
      </c>
      <c r="P85" s="17" t="s">
        <v>86</v>
      </c>
      <c r="Q85" s="81" t="s">
        <v>1142</v>
      </c>
      <c r="R85" s="11">
        <v>30.932597999999999</v>
      </c>
      <c r="S85" s="11">
        <v>-86.033687</v>
      </c>
      <c r="T85" s="11" t="s">
        <v>1143</v>
      </c>
      <c r="U85" s="11" t="s">
        <v>1144</v>
      </c>
      <c r="V85" s="17" t="s">
        <v>1145</v>
      </c>
      <c r="W85" s="17" t="s">
        <v>110</v>
      </c>
      <c r="X85" s="70">
        <v>200</v>
      </c>
      <c r="Y85" s="70"/>
      <c r="Z85" s="13">
        <v>17685</v>
      </c>
      <c r="AA85" s="13">
        <v>17699</v>
      </c>
      <c r="AB85" s="13">
        <v>17715</v>
      </c>
      <c r="AC85" s="13">
        <v>17716</v>
      </c>
      <c r="AD85" s="86">
        <v>4510</v>
      </c>
      <c r="AE85" s="86">
        <v>4510</v>
      </c>
      <c r="AF85" s="70" t="s">
        <v>94</v>
      </c>
      <c r="AG85" s="17" t="s">
        <v>1146</v>
      </c>
      <c r="AH85" s="17" t="s">
        <v>94</v>
      </c>
      <c r="AI85" s="70" t="s">
        <v>94</v>
      </c>
      <c r="AJ85" s="17" t="s">
        <v>94</v>
      </c>
      <c r="AK85" s="17" t="s">
        <v>95</v>
      </c>
      <c r="AL85" s="17" t="s">
        <v>1147</v>
      </c>
      <c r="AM85" s="17" t="s">
        <v>94</v>
      </c>
      <c r="AN85" s="17" t="s">
        <v>94</v>
      </c>
      <c r="AO85" s="17" t="s">
        <v>98</v>
      </c>
      <c r="AP85" s="17" t="s">
        <v>98</v>
      </c>
      <c r="AQ85" s="17" t="s">
        <v>98</v>
      </c>
      <c r="AR85" s="17" t="s">
        <v>94</v>
      </c>
      <c r="AS85" s="17" t="s">
        <v>1148</v>
      </c>
      <c r="AT85" s="17"/>
      <c r="AU85" s="30" t="s">
        <v>1149</v>
      </c>
      <c r="AV85" s="14">
        <v>1750</v>
      </c>
      <c r="AW85" s="74"/>
      <c r="AX85" s="1"/>
      <c r="AY85" s="17" t="s">
        <v>101</v>
      </c>
    </row>
    <row r="86" spans="1:51" ht="12.75" customHeight="1" x14ac:dyDescent="0.25">
      <c r="A86" s="5">
        <v>85</v>
      </c>
      <c r="B86" s="9">
        <v>85</v>
      </c>
      <c r="C86" s="9" t="s">
        <v>1150</v>
      </c>
      <c r="D86" s="57" t="str">
        <f>HYPERLINK("http://prodenv.dep.state.fl.us/DepNexus/public/electronic-documents/OG_85/facility!search","OG_85_Docs")</f>
        <v>OG_85_Docs</v>
      </c>
      <c r="E86" s="57" t="str">
        <f>HYPERLINK("https://ca.dep.state.fl.us/mapdirect/?focus=oilandgas&amp;zoom=query&amp;querytype=oilandgas&amp;queryvalues=OG_85","OG_85_Map")</f>
        <v>OG_85_Map</v>
      </c>
      <c r="F86" s="1" t="s">
        <v>1151</v>
      </c>
      <c r="G86" s="1" t="s">
        <v>79</v>
      </c>
      <c r="H86" s="1" t="s">
        <v>176</v>
      </c>
      <c r="I86" s="1" t="s">
        <v>1152</v>
      </c>
      <c r="J86" s="17" t="s">
        <v>82</v>
      </c>
      <c r="K86" s="17" t="s">
        <v>83</v>
      </c>
      <c r="L86" s="17"/>
      <c r="M86" s="17" t="s">
        <v>84</v>
      </c>
      <c r="N86" s="52" t="s">
        <v>130</v>
      </c>
      <c r="O86" s="17" t="s">
        <v>86</v>
      </c>
      <c r="P86" s="17" t="s">
        <v>86</v>
      </c>
      <c r="Q86" s="81" t="s">
        <v>1153</v>
      </c>
      <c r="R86" s="11">
        <v>30.065601000000001</v>
      </c>
      <c r="S86" s="11">
        <v>-83.674398999999994</v>
      </c>
      <c r="T86" s="11" t="s">
        <v>1154</v>
      </c>
      <c r="U86" s="11" t="s">
        <v>1155</v>
      </c>
      <c r="V86" s="17" t="s">
        <v>1156</v>
      </c>
      <c r="W86" s="17" t="s">
        <v>110</v>
      </c>
      <c r="X86" s="70"/>
      <c r="Y86" s="70"/>
      <c r="Z86" s="13">
        <v>17685</v>
      </c>
      <c r="AA86" s="13">
        <v>17730</v>
      </c>
      <c r="AB86" s="13">
        <v>17837</v>
      </c>
      <c r="AC86" s="13">
        <v>17838</v>
      </c>
      <c r="AD86" s="86">
        <v>6254</v>
      </c>
      <c r="AE86" s="86">
        <v>6254</v>
      </c>
      <c r="AF86" s="70" t="s">
        <v>1157</v>
      </c>
      <c r="AG86" s="17" t="s">
        <v>1158</v>
      </c>
      <c r="AH86" s="17" t="s">
        <v>94</v>
      </c>
      <c r="AI86" s="70" t="s">
        <v>94</v>
      </c>
      <c r="AJ86" s="17" t="s">
        <v>94</v>
      </c>
      <c r="AK86" s="17" t="s">
        <v>95</v>
      </c>
      <c r="AL86" s="17" t="s">
        <v>1159</v>
      </c>
      <c r="AM86" s="17" t="s">
        <v>94</v>
      </c>
      <c r="AN86" s="17" t="s">
        <v>1160</v>
      </c>
      <c r="AO86" s="17" t="s">
        <v>98</v>
      </c>
      <c r="AP86" s="17" t="s">
        <v>98</v>
      </c>
      <c r="AQ86" s="17" t="s">
        <v>98</v>
      </c>
      <c r="AR86" s="17" t="s">
        <v>94</v>
      </c>
      <c r="AS86" s="17" t="s">
        <v>1161</v>
      </c>
      <c r="AT86" s="17"/>
      <c r="AU86" s="30" t="s">
        <v>1162</v>
      </c>
      <c r="AV86" s="14">
        <v>1877</v>
      </c>
      <c r="AW86" s="74"/>
      <c r="AX86" s="1"/>
      <c r="AY86" s="17" t="s">
        <v>101</v>
      </c>
    </row>
    <row r="87" spans="1:51" ht="12.75" customHeight="1" x14ac:dyDescent="0.25">
      <c r="A87" s="5">
        <v>86</v>
      </c>
      <c r="B87" s="9">
        <v>86</v>
      </c>
      <c r="C87" s="9" t="s">
        <v>1163</v>
      </c>
      <c r="D87" s="57" t="str">
        <f>HYPERLINK("http://prodenv.dep.state.fl.us/DepNexus/public/electronic-documents/OG_86/facility!search","OG_86_Docs")</f>
        <v>OG_86_Docs</v>
      </c>
      <c r="E87" s="57" t="str">
        <f>HYPERLINK("https://ca.dep.state.fl.us/mapdirect/?focus=oilandgas&amp;zoom=query&amp;querytype=oilandgas&amp;queryvalues=OG_86","OG_86_Map")</f>
        <v>OG_86_Map</v>
      </c>
      <c r="F87" s="1" t="s">
        <v>265</v>
      </c>
      <c r="G87" s="1" t="s">
        <v>79</v>
      </c>
      <c r="H87" s="1" t="s">
        <v>176</v>
      </c>
      <c r="I87" s="1" t="s">
        <v>1164</v>
      </c>
      <c r="J87" s="17" t="s">
        <v>82</v>
      </c>
      <c r="K87" s="17" t="s">
        <v>83</v>
      </c>
      <c r="L87" s="17"/>
      <c r="M87" s="17" t="s">
        <v>101</v>
      </c>
      <c r="N87" s="52" t="s">
        <v>193</v>
      </c>
      <c r="O87" s="17" t="s">
        <v>270</v>
      </c>
      <c r="P87" s="17" t="s">
        <v>86</v>
      </c>
      <c r="Q87" s="81" t="s">
        <v>1165</v>
      </c>
      <c r="R87" s="11">
        <v>26.372195999999999</v>
      </c>
      <c r="S87" s="11">
        <v>-81.524809000000005</v>
      </c>
      <c r="T87" s="11" t="s">
        <v>1166</v>
      </c>
      <c r="U87" s="11" t="s">
        <v>1167</v>
      </c>
      <c r="V87" s="17" t="s">
        <v>1168</v>
      </c>
      <c r="W87" s="17" t="s">
        <v>110</v>
      </c>
      <c r="X87" s="70">
        <v>37</v>
      </c>
      <c r="Y87" s="70">
        <v>25</v>
      </c>
      <c r="Z87" s="13">
        <v>17693</v>
      </c>
      <c r="AA87" s="13">
        <v>17699</v>
      </c>
      <c r="AB87" s="13">
        <v>17829</v>
      </c>
      <c r="AC87" s="13">
        <v>17826</v>
      </c>
      <c r="AD87" s="86">
        <v>12120</v>
      </c>
      <c r="AE87" s="86">
        <v>12120</v>
      </c>
      <c r="AF87" s="70" t="s">
        <v>1169</v>
      </c>
      <c r="AG87" s="23" t="s">
        <v>1170</v>
      </c>
      <c r="AH87" s="17" t="s">
        <v>1171</v>
      </c>
      <c r="AI87" s="71" t="s">
        <v>1172</v>
      </c>
      <c r="AJ87" s="17" t="s">
        <v>94</v>
      </c>
      <c r="AK87" s="17" t="s">
        <v>95</v>
      </c>
      <c r="AL87" s="17" t="s">
        <v>1173</v>
      </c>
      <c r="AM87" s="17" t="s">
        <v>94</v>
      </c>
      <c r="AN87" s="17" t="s">
        <v>1174</v>
      </c>
      <c r="AO87" s="17" t="s">
        <v>1175</v>
      </c>
      <c r="AP87" s="17" t="s">
        <v>86</v>
      </c>
      <c r="AQ87" s="17" t="s">
        <v>1176</v>
      </c>
      <c r="AR87" s="17" t="s">
        <v>94</v>
      </c>
      <c r="AS87" s="17" t="s">
        <v>1177</v>
      </c>
      <c r="AT87" s="17"/>
      <c r="AU87" s="30" t="s">
        <v>1178</v>
      </c>
      <c r="AV87" s="14">
        <v>1883</v>
      </c>
      <c r="AW87" s="74"/>
      <c r="AX87" s="1"/>
      <c r="AY87" s="17" t="s">
        <v>101</v>
      </c>
    </row>
    <row r="88" spans="1:51" ht="12.75" customHeight="1" x14ac:dyDescent="0.25">
      <c r="A88" s="5">
        <v>87</v>
      </c>
      <c r="B88" s="9">
        <v>87</v>
      </c>
      <c r="C88" s="9" t="s">
        <v>1179</v>
      </c>
      <c r="D88" s="57" t="str">
        <f>HYPERLINK("http://prodenv.dep.state.fl.us/DepNexus/public/electronic-documents/OG_87/facility!search","OG_87_Docs")</f>
        <v>OG_87_Docs</v>
      </c>
      <c r="E88" s="57" t="str">
        <f>HYPERLINK("https://ca.dep.state.fl.us/mapdirect/?focus=oilandgas&amp;zoom=query&amp;querytype=oilandgas&amp;queryvalues=OG_87","OG_87_Map")</f>
        <v>OG_87_Map</v>
      </c>
      <c r="F88" s="1" t="s">
        <v>486</v>
      </c>
      <c r="G88" s="1" t="s">
        <v>79</v>
      </c>
      <c r="H88" s="1" t="s">
        <v>1180</v>
      </c>
      <c r="I88" s="1" t="s">
        <v>1181</v>
      </c>
      <c r="J88" s="17" t="s">
        <v>82</v>
      </c>
      <c r="K88" s="17" t="s">
        <v>83</v>
      </c>
      <c r="L88" s="17"/>
      <c r="M88" s="17" t="s">
        <v>101</v>
      </c>
      <c r="N88" s="52" t="s">
        <v>86</v>
      </c>
      <c r="O88" s="17" t="s">
        <v>86</v>
      </c>
      <c r="P88" s="17" t="s">
        <v>86</v>
      </c>
      <c r="Q88" s="81" t="s">
        <v>1182</v>
      </c>
      <c r="R88" s="11">
        <v>30.533225999999999</v>
      </c>
      <c r="S88" s="11">
        <v>-84.507408999999996</v>
      </c>
      <c r="T88" s="11" t="s">
        <v>1183</v>
      </c>
      <c r="U88" s="11" t="s">
        <v>1184</v>
      </c>
      <c r="V88" s="17" t="s">
        <v>998</v>
      </c>
      <c r="W88" s="17" t="s">
        <v>110</v>
      </c>
      <c r="X88" s="70">
        <v>200</v>
      </c>
      <c r="Y88" s="70">
        <v>190</v>
      </c>
      <c r="Z88" s="13">
        <v>17706</v>
      </c>
      <c r="AA88" s="13">
        <v>17719</v>
      </c>
      <c r="AB88" s="13">
        <v>17737</v>
      </c>
      <c r="AC88" s="13">
        <v>17737</v>
      </c>
      <c r="AD88" s="86">
        <v>4240</v>
      </c>
      <c r="AE88" s="86">
        <v>4240</v>
      </c>
      <c r="AF88" s="70" t="s">
        <v>1185</v>
      </c>
      <c r="AG88" s="17" t="s">
        <v>94</v>
      </c>
      <c r="AH88" s="17" t="s">
        <v>94</v>
      </c>
      <c r="AI88" s="70" t="s">
        <v>94</v>
      </c>
      <c r="AJ88" s="17" t="s">
        <v>94</v>
      </c>
      <c r="AK88" s="17" t="s">
        <v>95</v>
      </c>
      <c r="AL88" s="17" t="s">
        <v>1186</v>
      </c>
      <c r="AM88" s="17" t="s">
        <v>94</v>
      </c>
      <c r="AN88" s="17" t="s">
        <v>94</v>
      </c>
      <c r="AO88" s="17" t="s">
        <v>98</v>
      </c>
      <c r="AP88" s="17" t="s">
        <v>98</v>
      </c>
      <c r="AQ88" s="17" t="s">
        <v>98</v>
      </c>
      <c r="AR88" s="17" t="s">
        <v>94</v>
      </c>
      <c r="AS88" s="17" t="s">
        <v>1187</v>
      </c>
      <c r="AT88" s="17" t="s">
        <v>94</v>
      </c>
      <c r="AU88" s="30" t="s">
        <v>1188</v>
      </c>
      <c r="AV88" s="14">
        <v>1768</v>
      </c>
      <c r="AW88" s="74"/>
      <c r="AX88" s="1"/>
      <c r="AY88" s="17" t="s">
        <v>101</v>
      </c>
    </row>
    <row r="89" spans="1:51" ht="12.75" customHeight="1" x14ac:dyDescent="0.25">
      <c r="A89" s="5">
        <v>88</v>
      </c>
      <c r="B89" s="9">
        <v>88</v>
      </c>
      <c r="C89" s="9" t="s">
        <v>1189</v>
      </c>
      <c r="D89" s="57" t="str">
        <f>HYPERLINK("http://prodenv.dep.state.fl.us/DepNexus/public/electronic-documents/OG_88/facility!search","OG_88_Docs")</f>
        <v>OG_88_Docs</v>
      </c>
      <c r="E89" s="57" t="str">
        <f>HYPERLINK("https://ca.dep.state.fl.us/mapdirect/?focus=oilandgas&amp;zoom=query&amp;querytype=oilandgas&amp;queryvalues=OG_88","OG_88_Map")</f>
        <v>OG_88_Map</v>
      </c>
      <c r="F89" s="1" t="s">
        <v>162</v>
      </c>
      <c r="G89" s="1" t="s">
        <v>79</v>
      </c>
      <c r="H89" s="1" t="s">
        <v>1190</v>
      </c>
      <c r="I89" s="1" t="s">
        <v>1191</v>
      </c>
      <c r="J89" s="17" t="s">
        <v>82</v>
      </c>
      <c r="K89" s="17" t="s">
        <v>82</v>
      </c>
      <c r="L89" s="17"/>
      <c r="M89" s="17" t="s">
        <v>101</v>
      </c>
      <c r="N89" s="52" t="s">
        <v>130</v>
      </c>
      <c r="O89" s="17" t="s">
        <v>86</v>
      </c>
      <c r="P89" s="17" t="s">
        <v>86</v>
      </c>
      <c r="Q89" s="81" t="s">
        <v>1192</v>
      </c>
      <c r="R89" s="11">
        <v>30.421569999999999</v>
      </c>
      <c r="S89" s="11">
        <v>-84.875006999999997</v>
      </c>
      <c r="T89" s="11" t="s">
        <v>1193</v>
      </c>
      <c r="U89" s="11" t="s">
        <v>1194</v>
      </c>
      <c r="V89" s="17" t="s">
        <v>1195</v>
      </c>
      <c r="W89" s="17" t="s">
        <v>110</v>
      </c>
      <c r="X89" s="70">
        <v>188</v>
      </c>
      <c r="Y89" s="70">
        <v>176</v>
      </c>
      <c r="Z89" s="13">
        <v>17727</v>
      </c>
      <c r="AA89" s="13">
        <v>17734</v>
      </c>
      <c r="AB89" s="13">
        <v>17749</v>
      </c>
      <c r="AC89" s="13">
        <v>17749</v>
      </c>
      <c r="AD89" s="86">
        <v>4350</v>
      </c>
      <c r="AE89" s="86">
        <v>4350</v>
      </c>
      <c r="AF89" s="70" t="s">
        <v>94</v>
      </c>
      <c r="AG89" s="17" t="s">
        <v>1196</v>
      </c>
      <c r="AH89" s="17" t="s">
        <v>94</v>
      </c>
      <c r="AI89" s="70" t="s">
        <v>94</v>
      </c>
      <c r="AJ89" s="17" t="s">
        <v>94</v>
      </c>
      <c r="AK89" s="17" t="s">
        <v>95</v>
      </c>
      <c r="AL89" s="17" t="s">
        <v>1197</v>
      </c>
      <c r="AM89" s="17" t="s">
        <v>94</v>
      </c>
      <c r="AN89" s="17" t="s">
        <v>94</v>
      </c>
      <c r="AO89" s="17" t="s">
        <v>98</v>
      </c>
      <c r="AP89" s="17" t="s">
        <v>98</v>
      </c>
      <c r="AQ89" s="17" t="s">
        <v>98</v>
      </c>
      <c r="AR89" s="17" t="s">
        <v>94</v>
      </c>
      <c r="AS89" s="17" t="s">
        <v>1198</v>
      </c>
      <c r="AT89" s="17" t="s">
        <v>94</v>
      </c>
      <c r="AU89" s="30" t="s">
        <v>1199</v>
      </c>
      <c r="AV89" s="14">
        <v>1771</v>
      </c>
      <c r="AW89" s="74"/>
      <c r="AX89" s="1"/>
      <c r="AY89" s="17" t="s">
        <v>101</v>
      </c>
    </row>
    <row r="90" spans="1:51" ht="12.75" customHeight="1" x14ac:dyDescent="0.25">
      <c r="A90" s="5">
        <v>89</v>
      </c>
      <c r="B90" s="9">
        <v>89</v>
      </c>
      <c r="C90" s="9" t="s">
        <v>1200</v>
      </c>
      <c r="D90" s="57" t="str">
        <f>HYPERLINK("http://prodenv.dep.state.fl.us/DepNexus/public/electronic-documents/OG_89/facility!search","OG_89_Docs")</f>
        <v>OG_89_Docs</v>
      </c>
      <c r="E90" s="57" t="str">
        <f>HYPERLINK("https://ca.dep.state.fl.us/mapdirect/?focus=oilandgas&amp;zoom=query&amp;querytype=oilandgas&amp;queryvalues=OG_89","OG_89_Map")</f>
        <v>OG_89_Map</v>
      </c>
      <c r="F90" s="1" t="s">
        <v>141</v>
      </c>
      <c r="G90" s="1" t="s">
        <v>79</v>
      </c>
      <c r="H90" s="1" t="s">
        <v>128</v>
      </c>
      <c r="I90" s="1" t="s">
        <v>1201</v>
      </c>
      <c r="J90" s="17" t="s">
        <v>82</v>
      </c>
      <c r="K90" s="17" t="s">
        <v>83</v>
      </c>
      <c r="L90" s="17"/>
      <c r="M90" s="17" t="s">
        <v>101</v>
      </c>
      <c r="N90" s="52" t="s">
        <v>193</v>
      </c>
      <c r="O90" s="17" t="s">
        <v>86</v>
      </c>
      <c r="P90" s="17" t="s">
        <v>86</v>
      </c>
      <c r="Q90" s="81" t="s">
        <v>1202</v>
      </c>
      <c r="R90" s="11">
        <v>29.798421999999999</v>
      </c>
      <c r="S90" s="11">
        <v>-82.773286999999996</v>
      </c>
      <c r="T90" s="11" t="s">
        <v>1203</v>
      </c>
      <c r="U90" s="11" t="s">
        <v>1204</v>
      </c>
      <c r="V90" s="17" t="s">
        <v>1205</v>
      </c>
      <c r="W90" s="17" t="s">
        <v>110</v>
      </c>
      <c r="X90" s="70">
        <v>77</v>
      </c>
      <c r="Y90" s="70">
        <v>70</v>
      </c>
      <c r="Z90" s="13">
        <v>17769</v>
      </c>
      <c r="AA90" s="13">
        <v>17768</v>
      </c>
      <c r="AB90" s="13">
        <v>17806</v>
      </c>
      <c r="AC90" s="13">
        <v>17806</v>
      </c>
      <c r="AD90" s="86">
        <v>3366</v>
      </c>
      <c r="AE90" s="86">
        <v>3366</v>
      </c>
      <c r="AF90" s="70" t="s">
        <v>1206</v>
      </c>
      <c r="AG90" s="17" t="s">
        <v>1207</v>
      </c>
      <c r="AH90" s="17" t="s">
        <v>1208</v>
      </c>
      <c r="AI90" s="70" t="s">
        <v>94</v>
      </c>
      <c r="AJ90" s="17" t="s">
        <v>94</v>
      </c>
      <c r="AK90" s="17" t="s">
        <v>95</v>
      </c>
      <c r="AL90" s="17" t="s">
        <v>1209</v>
      </c>
      <c r="AM90" s="17" t="s">
        <v>825</v>
      </c>
      <c r="AN90" s="17" t="s">
        <v>94</v>
      </c>
      <c r="AO90" s="17" t="s">
        <v>98</v>
      </c>
      <c r="AP90" s="17" t="s">
        <v>98</v>
      </c>
      <c r="AQ90" s="17" t="s">
        <v>98</v>
      </c>
      <c r="AR90" s="17" t="s">
        <v>94</v>
      </c>
      <c r="AS90" s="17" t="s">
        <v>1210</v>
      </c>
      <c r="AT90" s="17">
        <v>89</v>
      </c>
      <c r="AU90" s="30" t="s">
        <v>1211</v>
      </c>
      <c r="AV90" s="14">
        <v>1819</v>
      </c>
      <c r="AW90" s="74"/>
      <c r="AX90" s="1"/>
      <c r="AY90" s="17" t="s">
        <v>101</v>
      </c>
    </row>
    <row r="91" spans="1:51" ht="12.75" customHeight="1" x14ac:dyDescent="0.25">
      <c r="A91" s="5">
        <v>90</v>
      </c>
      <c r="B91" s="9">
        <v>90</v>
      </c>
      <c r="C91" s="9" t="s">
        <v>1212</v>
      </c>
      <c r="D91" s="57" t="str">
        <f>HYPERLINK("http://prodenv.dep.state.fl.us/DepNexus/public/electronic-documents/OG_90/facility!search","OG_90_Docs")</f>
        <v>OG_90_Docs</v>
      </c>
      <c r="E91" s="57" t="str">
        <f>HYPERLINK("https://ca.dep.state.fl.us/mapdirect/?focus=oilandgas&amp;zoom=query&amp;querytype=oilandgas&amp;queryvalues=OG_90","OG_90_Map")</f>
        <v>OG_90_Map</v>
      </c>
      <c r="F91" s="1" t="s">
        <v>634</v>
      </c>
      <c r="G91" s="1" t="s">
        <v>79</v>
      </c>
      <c r="H91" s="1" t="s">
        <v>1213</v>
      </c>
      <c r="I91" s="1" t="s">
        <v>1214</v>
      </c>
      <c r="J91" s="17" t="s">
        <v>82</v>
      </c>
      <c r="K91" s="17" t="s">
        <v>83</v>
      </c>
      <c r="L91" s="17"/>
      <c r="M91" s="17"/>
      <c r="N91" s="52" t="s">
        <v>130</v>
      </c>
      <c r="O91" s="17" t="s">
        <v>86</v>
      </c>
      <c r="P91" s="17" t="s">
        <v>86</v>
      </c>
      <c r="Q91" s="81" t="s">
        <v>1215</v>
      </c>
      <c r="R91" s="11">
        <v>30.200848000000001</v>
      </c>
      <c r="S91" s="11">
        <v>-83.128949000000006</v>
      </c>
      <c r="T91" s="11" t="s">
        <v>1216</v>
      </c>
      <c r="U91" s="11" t="s">
        <v>1217</v>
      </c>
      <c r="V91" s="17" t="s">
        <v>1218</v>
      </c>
      <c r="W91" s="17" t="s">
        <v>110</v>
      </c>
      <c r="X91" s="70">
        <v>90</v>
      </c>
      <c r="Y91" s="70">
        <v>85</v>
      </c>
      <c r="Z91" s="13">
        <v>17755</v>
      </c>
      <c r="AA91" s="13">
        <v>17796</v>
      </c>
      <c r="AB91" s="13">
        <v>17842</v>
      </c>
      <c r="AC91" s="13">
        <v>17842</v>
      </c>
      <c r="AD91" s="86">
        <v>3819</v>
      </c>
      <c r="AE91" s="86">
        <v>3819</v>
      </c>
      <c r="AF91" s="70" t="s">
        <v>1219</v>
      </c>
      <c r="AG91" s="17" t="s">
        <v>1220</v>
      </c>
      <c r="AH91" s="17" t="s">
        <v>1221</v>
      </c>
      <c r="AI91" s="70" t="s">
        <v>94</v>
      </c>
      <c r="AJ91" s="17" t="s">
        <v>94</v>
      </c>
      <c r="AK91" s="17" t="s">
        <v>95</v>
      </c>
      <c r="AL91" s="17" t="s">
        <v>94</v>
      </c>
      <c r="AM91" s="17" t="s">
        <v>94</v>
      </c>
      <c r="AN91" s="17" t="s">
        <v>94</v>
      </c>
      <c r="AO91" s="17" t="s">
        <v>98</v>
      </c>
      <c r="AP91" s="17" t="s">
        <v>98</v>
      </c>
      <c r="AQ91" s="17" t="s">
        <v>98</v>
      </c>
      <c r="AR91" s="17" t="s">
        <v>94</v>
      </c>
      <c r="AS91" s="17" t="s">
        <v>1222</v>
      </c>
      <c r="AT91" s="17"/>
      <c r="AU91" s="30" t="s">
        <v>1223</v>
      </c>
      <c r="AV91" s="14">
        <v>1827</v>
      </c>
      <c r="AW91" s="74"/>
      <c r="AX91" s="1" t="s">
        <v>1224</v>
      </c>
      <c r="AY91" s="17" t="s">
        <v>101</v>
      </c>
    </row>
    <row r="92" spans="1:51" ht="12.75" customHeight="1" x14ac:dyDescent="0.25">
      <c r="A92" s="5">
        <v>91</v>
      </c>
      <c r="B92" s="9">
        <v>91</v>
      </c>
      <c r="C92" s="9" t="s">
        <v>1225</v>
      </c>
      <c r="D92" s="57" t="str">
        <f>HYPERLINK("http://prodenv.dep.state.fl.us/DepNexus/public/electronic-documents/OG_91/facility!search","OG_91_Docs")</f>
        <v>OG_91_Docs</v>
      </c>
      <c r="E92" s="57" t="str">
        <f>HYPERLINK("https://ca.dep.state.fl.us/mapdirect/?focus=oilandgas&amp;zoom=query&amp;querytype=oilandgas&amp;queryvalues=OG_91","OG_91_Map")</f>
        <v>OG_91_Map</v>
      </c>
      <c r="F92" s="1" t="s">
        <v>175</v>
      </c>
      <c r="G92" s="1" t="s">
        <v>79</v>
      </c>
      <c r="H92" s="1" t="s">
        <v>817</v>
      </c>
      <c r="I92" s="1" t="s">
        <v>1226</v>
      </c>
      <c r="J92" s="17" t="s">
        <v>82</v>
      </c>
      <c r="K92" s="17" t="s">
        <v>83</v>
      </c>
      <c r="L92" s="17"/>
      <c r="M92" s="17" t="s">
        <v>84</v>
      </c>
      <c r="N92" s="52" t="s">
        <v>193</v>
      </c>
      <c r="O92" s="17" t="s">
        <v>86</v>
      </c>
      <c r="P92" s="17" t="s">
        <v>86</v>
      </c>
      <c r="Q92" s="81" t="s">
        <v>1227</v>
      </c>
      <c r="R92" s="11">
        <v>28.163415000000001</v>
      </c>
      <c r="S92" s="11">
        <v>-81.118549999999999</v>
      </c>
      <c r="T92" s="11" t="s">
        <v>1228</v>
      </c>
      <c r="U92" s="11" t="s">
        <v>1229</v>
      </c>
      <c r="V92" s="17" t="s">
        <v>1230</v>
      </c>
      <c r="W92" s="17" t="s">
        <v>110</v>
      </c>
      <c r="X92" s="70">
        <v>77.5</v>
      </c>
      <c r="Y92" s="70">
        <v>69</v>
      </c>
      <c r="Z92" s="13">
        <v>17769</v>
      </c>
      <c r="AA92" s="13">
        <v>17769</v>
      </c>
      <c r="AB92" s="13">
        <v>17816</v>
      </c>
      <c r="AC92" s="13">
        <v>17816</v>
      </c>
      <c r="AD92" s="86">
        <v>6510</v>
      </c>
      <c r="AE92" s="86">
        <v>6510</v>
      </c>
      <c r="AF92" s="70" t="s">
        <v>1231</v>
      </c>
      <c r="AG92" s="17" t="s">
        <v>1232</v>
      </c>
      <c r="AH92" s="17" t="s">
        <v>1233</v>
      </c>
      <c r="AI92" s="70" t="s">
        <v>94</v>
      </c>
      <c r="AJ92" s="17" t="s">
        <v>94</v>
      </c>
      <c r="AK92" s="17" t="s">
        <v>95</v>
      </c>
      <c r="AL92" s="17" t="s">
        <v>1234</v>
      </c>
      <c r="AM92" s="17" t="s">
        <v>94</v>
      </c>
      <c r="AN92" s="17" t="s">
        <v>86</v>
      </c>
      <c r="AO92" s="17" t="s">
        <v>98</v>
      </c>
      <c r="AP92" s="17" t="s">
        <v>98</v>
      </c>
      <c r="AQ92" s="17" t="s">
        <v>98</v>
      </c>
      <c r="AR92" s="17" t="s">
        <v>94</v>
      </c>
      <c r="AS92" s="17" t="s">
        <v>1235</v>
      </c>
      <c r="AT92" s="17">
        <v>132</v>
      </c>
      <c r="AU92" s="30" t="s">
        <v>1236</v>
      </c>
      <c r="AV92" s="14">
        <v>1833</v>
      </c>
      <c r="AW92" s="74"/>
      <c r="AX92" s="1"/>
      <c r="AY92" s="17" t="s">
        <v>101</v>
      </c>
    </row>
    <row r="93" spans="1:51" ht="12.75" customHeight="1" x14ac:dyDescent="0.25">
      <c r="A93" s="5">
        <v>92</v>
      </c>
      <c r="B93" s="9">
        <v>92</v>
      </c>
      <c r="C93" s="9" t="s">
        <v>1237</v>
      </c>
      <c r="D93" s="57" t="str">
        <f>HYPERLINK("http://prodenv.dep.state.fl.us/DepNexus/public/electronic-documents/OG_92/facility!search","OG_92_Docs")</f>
        <v>OG_92_Docs</v>
      </c>
      <c r="E93" s="57" t="str">
        <f>HYPERLINK("https://ca.dep.state.fl.us/mapdirect/?focus=oilandgas&amp;zoom=query&amp;querytype=oilandgas&amp;queryvalues=OG_92","OG_92_Map")</f>
        <v>OG_92_Map</v>
      </c>
      <c r="F93" s="1" t="s">
        <v>265</v>
      </c>
      <c r="G93" s="1" t="s">
        <v>79</v>
      </c>
      <c r="H93" s="1" t="s">
        <v>176</v>
      </c>
      <c r="I93" s="1" t="s">
        <v>1238</v>
      </c>
      <c r="J93" s="17" t="s">
        <v>82</v>
      </c>
      <c r="K93" s="17" t="s">
        <v>83</v>
      </c>
      <c r="L93" s="17"/>
      <c r="M93" s="17"/>
      <c r="N93" s="52" t="s">
        <v>193</v>
      </c>
      <c r="O93" s="17" t="s">
        <v>270</v>
      </c>
      <c r="P93" s="17" t="s">
        <v>86</v>
      </c>
      <c r="Q93" s="81" t="s">
        <v>1239</v>
      </c>
      <c r="R93" s="11">
        <v>26.321684000000001</v>
      </c>
      <c r="S93" s="11">
        <v>-81.458389999999994</v>
      </c>
      <c r="T93" s="11" t="s">
        <v>1240</v>
      </c>
      <c r="U93" s="11" t="s">
        <v>1241</v>
      </c>
      <c r="V93" s="17" t="s">
        <v>1242</v>
      </c>
      <c r="W93" s="17" t="s">
        <v>110</v>
      </c>
      <c r="X93" s="70">
        <v>32</v>
      </c>
      <c r="Y93" s="70">
        <v>22</v>
      </c>
      <c r="Z93" s="13">
        <v>17776</v>
      </c>
      <c r="AA93" s="13">
        <v>17835</v>
      </c>
      <c r="AB93" s="13">
        <v>17903</v>
      </c>
      <c r="AC93" s="13">
        <v>17901</v>
      </c>
      <c r="AD93" s="86">
        <v>11893</v>
      </c>
      <c r="AE93" s="86">
        <v>11893</v>
      </c>
      <c r="AF93" s="70" t="s">
        <v>1243</v>
      </c>
      <c r="AG93" s="23" t="s">
        <v>1244</v>
      </c>
      <c r="AH93" s="17" t="s">
        <v>1245</v>
      </c>
      <c r="AI93" s="70" t="s">
        <v>94</v>
      </c>
      <c r="AJ93" s="17" t="s">
        <v>94</v>
      </c>
      <c r="AK93" s="17" t="s">
        <v>95</v>
      </c>
      <c r="AL93" s="17" t="s">
        <v>1246</v>
      </c>
      <c r="AM93" s="17" t="s">
        <v>94</v>
      </c>
      <c r="AN93" s="17" t="s">
        <v>94</v>
      </c>
      <c r="AO93" s="17" t="s">
        <v>98</v>
      </c>
      <c r="AP93" s="17" t="s">
        <v>98</v>
      </c>
      <c r="AQ93" s="17" t="s">
        <v>98</v>
      </c>
      <c r="AR93" s="17" t="s">
        <v>94</v>
      </c>
      <c r="AS93" s="17" t="s">
        <v>1247</v>
      </c>
      <c r="AT93" s="17"/>
      <c r="AU93" s="30" t="s">
        <v>1248</v>
      </c>
      <c r="AV93" s="14">
        <v>1878</v>
      </c>
      <c r="AW93" s="74"/>
      <c r="AX93" s="1"/>
      <c r="AY93" s="17" t="s">
        <v>101</v>
      </c>
    </row>
    <row r="94" spans="1:51" ht="12.75" customHeight="1" x14ac:dyDescent="0.25">
      <c r="A94" s="5">
        <v>93</v>
      </c>
      <c r="B94" s="9">
        <v>93</v>
      </c>
      <c r="C94" s="9" t="s">
        <v>1249</v>
      </c>
      <c r="D94" s="57" t="str">
        <f>HYPERLINK("http://prodenv.dep.state.fl.us/DepNexus/public/electronic-documents/OG_93/facility!search","OG_93_Docs")</f>
        <v>OG_93_Docs</v>
      </c>
      <c r="E94" s="57" t="str">
        <f>HYPERLINK("https://ca.dep.state.fl.us/mapdirect/?focus=oilandgas&amp;zoom=query&amp;querytype=oilandgas&amp;queryvalues=OG_93","OG_93_Map")</f>
        <v>OG_93_Map</v>
      </c>
      <c r="F94" s="1" t="s">
        <v>1041</v>
      </c>
      <c r="G94" s="1" t="s">
        <v>79</v>
      </c>
      <c r="H94" s="1" t="s">
        <v>128</v>
      </c>
      <c r="I94" s="1" t="s">
        <v>1250</v>
      </c>
      <c r="J94" s="17" t="s">
        <v>82</v>
      </c>
      <c r="K94" s="17" t="s">
        <v>83</v>
      </c>
      <c r="L94" s="17"/>
      <c r="M94" s="17" t="s">
        <v>84</v>
      </c>
      <c r="N94" s="52" t="s">
        <v>130</v>
      </c>
      <c r="O94" s="17" t="s">
        <v>86</v>
      </c>
      <c r="P94" s="17" t="s">
        <v>86</v>
      </c>
      <c r="Q94" s="81" t="s">
        <v>1251</v>
      </c>
      <c r="R94" s="11">
        <v>30.307597999999999</v>
      </c>
      <c r="S94" s="11">
        <v>-82.662020999999996</v>
      </c>
      <c r="T94" s="11" t="s">
        <v>1252</v>
      </c>
      <c r="U94" s="11" t="s">
        <v>1253</v>
      </c>
      <c r="V94" s="17" t="s">
        <v>1254</v>
      </c>
      <c r="W94" s="17" t="s">
        <v>110</v>
      </c>
      <c r="X94" s="70">
        <v>138</v>
      </c>
      <c r="Y94" s="70">
        <v>133</v>
      </c>
      <c r="Z94" s="13">
        <v>17818</v>
      </c>
      <c r="AA94" s="13">
        <v>17819</v>
      </c>
      <c r="AB94" s="13">
        <v>17853</v>
      </c>
      <c r="AC94" s="13">
        <v>17853</v>
      </c>
      <c r="AD94" s="86">
        <v>3303</v>
      </c>
      <c r="AE94" s="86">
        <v>3303</v>
      </c>
      <c r="AF94" s="70" t="s">
        <v>1255</v>
      </c>
      <c r="AG94" s="17" t="s">
        <v>1256</v>
      </c>
      <c r="AH94" s="17" t="s">
        <v>1257</v>
      </c>
      <c r="AI94" s="70" t="s">
        <v>94</v>
      </c>
      <c r="AJ94" s="17" t="s">
        <v>94</v>
      </c>
      <c r="AK94" s="17" t="s">
        <v>95</v>
      </c>
      <c r="AL94" s="17" t="s">
        <v>1258</v>
      </c>
      <c r="AM94" s="17" t="s">
        <v>94</v>
      </c>
      <c r="AN94" s="17" t="s">
        <v>94</v>
      </c>
      <c r="AO94" s="17" t="s">
        <v>98</v>
      </c>
      <c r="AP94" s="17" t="s">
        <v>98</v>
      </c>
      <c r="AQ94" s="17" t="s">
        <v>98</v>
      </c>
      <c r="AR94" s="17" t="s">
        <v>94</v>
      </c>
      <c r="AS94" s="17" t="s">
        <v>1259</v>
      </c>
      <c r="AT94" s="17"/>
      <c r="AU94" s="30" t="s">
        <v>1260</v>
      </c>
      <c r="AV94" s="14">
        <v>1832</v>
      </c>
      <c r="AW94" s="74"/>
      <c r="AX94" s="1" t="s">
        <v>1261</v>
      </c>
      <c r="AY94" s="17" t="s">
        <v>101</v>
      </c>
    </row>
    <row r="95" spans="1:51" ht="12.75" customHeight="1" x14ac:dyDescent="0.25">
      <c r="A95" s="5">
        <v>94</v>
      </c>
      <c r="B95" s="9">
        <v>94</v>
      </c>
      <c r="C95" s="9" t="s">
        <v>1262</v>
      </c>
      <c r="D95" s="57" t="str">
        <f>HYPERLINK("http://prodenv.dep.state.fl.us/DepNexus/public/electronic-documents/OG_94/facility!search","OG_94_Docs")</f>
        <v>OG_94_Docs</v>
      </c>
      <c r="E95" s="57" t="str">
        <f>HYPERLINK("https://ca.dep.state.fl.us/mapdirect/?focus=oilandgas&amp;zoom=query&amp;querytype=oilandgas&amp;queryvalues=OG_94","OG_94_Map")</f>
        <v>OG_94_Map</v>
      </c>
      <c r="F95" s="1" t="s">
        <v>1263</v>
      </c>
      <c r="G95" s="1" t="s">
        <v>79</v>
      </c>
      <c r="H95" s="1" t="s">
        <v>176</v>
      </c>
      <c r="I95" s="1" t="s">
        <v>1264</v>
      </c>
      <c r="J95" s="17" t="s">
        <v>82</v>
      </c>
      <c r="K95" s="17" t="s">
        <v>83</v>
      </c>
      <c r="L95" s="17"/>
      <c r="M95" s="17"/>
      <c r="N95" s="52" t="s">
        <v>86</v>
      </c>
      <c r="O95" s="17" t="s">
        <v>86</v>
      </c>
      <c r="P95" s="17" t="s">
        <v>86</v>
      </c>
      <c r="Q95" s="81" t="s">
        <v>1265</v>
      </c>
      <c r="R95" s="11">
        <v>30.856169000000001</v>
      </c>
      <c r="S95" s="11">
        <v>-85.352740999999995</v>
      </c>
      <c r="T95" s="11" t="s">
        <v>1266</v>
      </c>
      <c r="U95" s="11" t="s">
        <v>1267</v>
      </c>
      <c r="V95" s="17" t="s">
        <v>1268</v>
      </c>
      <c r="W95" s="17" t="s">
        <v>110</v>
      </c>
      <c r="X95" s="70">
        <v>128</v>
      </c>
      <c r="Y95" s="70"/>
      <c r="Z95" s="13">
        <v>17818</v>
      </c>
      <c r="AA95" s="13">
        <v>17840</v>
      </c>
      <c r="AB95" s="13"/>
      <c r="AC95" s="13">
        <v>17972</v>
      </c>
      <c r="AD95" s="86">
        <v>9243</v>
      </c>
      <c r="AE95" s="86">
        <v>9243</v>
      </c>
      <c r="AF95" s="70" t="s">
        <v>1269</v>
      </c>
      <c r="AG95" s="17" t="s">
        <v>1270</v>
      </c>
      <c r="AH95" s="17" t="s">
        <v>94</v>
      </c>
      <c r="AI95" s="70" t="s">
        <v>94</v>
      </c>
      <c r="AJ95" s="17" t="s">
        <v>94</v>
      </c>
      <c r="AK95" s="17" t="s">
        <v>95</v>
      </c>
      <c r="AL95" s="17" t="s">
        <v>1271</v>
      </c>
      <c r="AM95" s="17" t="s">
        <v>94</v>
      </c>
      <c r="AN95" s="17" t="s">
        <v>1272</v>
      </c>
      <c r="AO95" s="17" t="s">
        <v>98</v>
      </c>
      <c r="AP95" s="17" t="s">
        <v>98</v>
      </c>
      <c r="AQ95" s="17" t="s">
        <v>98</v>
      </c>
      <c r="AR95" s="17" t="s">
        <v>94</v>
      </c>
      <c r="AS95" s="17" t="s">
        <v>1273</v>
      </c>
      <c r="AT95" s="17"/>
      <c r="AU95" s="30" t="s">
        <v>1274</v>
      </c>
      <c r="AV95" s="14">
        <v>1886</v>
      </c>
      <c r="AW95" s="74"/>
      <c r="AX95" s="1"/>
      <c r="AY95" s="17" t="s">
        <v>101</v>
      </c>
    </row>
    <row r="96" spans="1:51" ht="12.75" customHeight="1" x14ac:dyDescent="0.25">
      <c r="A96" s="5">
        <v>95</v>
      </c>
      <c r="B96" s="9">
        <v>95</v>
      </c>
      <c r="C96" s="9" t="s">
        <v>1275</v>
      </c>
      <c r="D96" s="57" t="str">
        <f>HYPERLINK("http://prodenv.dep.state.fl.us/DepNexus/public/electronic-documents/OG_95/facility!search","OG_95_Docs")</f>
        <v>OG_95_Docs</v>
      </c>
      <c r="E96" s="57" t="str">
        <f>HYPERLINK("https://ca.dep.state.fl.us/mapdirect/?focus=oilandgas&amp;zoom=query&amp;querytype=oilandgas&amp;queryvalues=OG_95","OG_95_Map")</f>
        <v>OG_95_Map</v>
      </c>
      <c r="F96" s="1" t="s">
        <v>1276</v>
      </c>
      <c r="G96" s="1" t="s">
        <v>79</v>
      </c>
      <c r="H96" s="1" t="s">
        <v>909</v>
      </c>
      <c r="I96" s="1" t="s">
        <v>1277</v>
      </c>
      <c r="J96" s="17" t="s">
        <v>82</v>
      </c>
      <c r="K96" s="17" t="s">
        <v>83</v>
      </c>
      <c r="L96" s="17"/>
      <c r="M96" s="17" t="s">
        <v>84</v>
      </c>
      <c r="N96" s="52" t="s">
        <v>193</v>
      </c>
      <c r="O96" s="17" t="s">
        <v>86</v>
      </c>
      <c r="P96" s="17" t="s">
        <v>86</v>
      </c>
      <c r="Q96" s="81" t="s">
        <v>1278</v>
      </c>
      <c r="R96" s="11">
        <v>30.337336000000001</v>
      </c>
      <c r="S96" s="11">
        <v>-83.982749999999996</v>
      </c>
      <c r="T96" s="11" t="s">
        <v>1279</v>
      </c>
      <c r="U96" s="11" t="s">
        <v>1280</v>
      </c>
      <c r="V96" s="17" t="s">
        <v>1281</v>
      </c>
      <c r="W96" s="17" t="s">
        <v>110</v>
      </c>
      <c r="X96" s="70">
        <v>51</v>
      </c>
      <c r="Y96" s="70">
        <v>40</v>
      </c>
      <c r="Z96" s="13">
        <v>17839</v>
      </c>
      <c r="AA96" s="13">
        <v>17843</v>
      </c>
      <c r="AB96" s="13">
        <v>17909</v>
      </c>
      <c r="AC96" s="13">
        <v>17912</v>
      </c>
      <c r="AD96" s="86">
        <v>7913</v>
      </c>
      <c r="AE96" s="86">
        <v>7913</v>
      </c>
      <c r="AF96" s="70" t="s">
        <v>1282</v>
      </c>
      <c r="AG96" s="17" t="s">
        <v>1283</v>
      </c>
      <c r="AH96" s="17" t="s">
        <v>94</v>
      </c>
      <c r="AI96" s="70" t="s">
        <v>94</v>
      </c>
      <c r="AJ96" s="17" t="s">
        <v>94</v>
      </c>
      <c r="AK96" s="17" t="s">
        <v>95</v>
      </c>
      <c r="AL96" s="17" t="s">
        <v>1284</v>
      </c>
      <c r="AM96" s="17" t="s">
        <v>95</v>
      </c>
      <c r="AN96" s="17" t="s">
        <v>94</v>
      </c>
      <c r="AO96" s="17" t="s">
        <v>98</v>
      </c>
      <c r="AP96" s="17" t="s">
        <v>98</v>
      </c>
      <c r="AQ96" s="17" t="s">
        <v>98</v>
      </c>
      <c r="AR96" s="17" t="s">
        <v>94</v>
      </c>
      <c r="AS96" s="17" t="s">
        <v>1285</v>
      </c>
      <c r="AT96" s="17">
        <v>141</v>
      </c>
      <c r="AU96" s="30" t="s">
        <v>1286</v>
      </c>
      <c r="AV96" s="14">
        <v>1854</v>
      </c>
      <c r="AW96" s="74"/>
      <c r="AX96" s="1"/>
      <c r="AY96" s="17" t="s">
        <v>101</v>
      </c>
    </row>
    <row r="97" spans="1:51" ht="12.75" customHeight="1" x14ac:dyDescent="0.25">
      <c r="A97" s="5">
        <v>96</v>
      </c>
      <c r="B97" s="9">
        <v>96</v>
      </c>
      <c r="C97" s="9" t="s">
        <v>1287</v>
      </c>
      <c r="D97" s="57" t="str">
        <f>HYPERLINK("http://prodenv.dep.state.fl.us/DepNexus/public/electronic-documents/OG_96/facility!search","OG_96_Docs")</f>
        <v>OG_96_Docs</v>
      </c>
      <c r="E97" s="57" t="str">
        <f>HYPERLINK("https://ca.dep.state.fl.us/mapdirect/?focus=oilandgas&amp;zoom=query&amp;querytype=oilandgas&amp;queryvalues=OG_96","OG_96_Map")</f>
        <v>OG_96_Map</v>
      </c>
      <c r="F97" s="1" t="s">
        <v>804</v>
      </c>
      <c r="G97" s="1" t="s">
        <v>79</v>
      </c>
      <c r="H97" s="1" t="s">
        <v>128</v>
      </c>
      <c r="I97" s="1" t="s">
        <v>1288</v>
      </c>
      <c r="J97" s="17" t="s">
        <v>82</v>
      </c>
      <c r="K97" s="17" t="s">
        <v>83</v>
      </c>
      <c r="L97" s="17"/>
      <c r="M97" s="17" t="s">
        <v>101</v>
      </c>
      <c r="N97" s="52" t="s">
        <v>193</v>
      </c>
      <c r="O97" s="17" t="s">
        <v>86</v>
      </c>
      <c r="P97" s="17" t="s">
        <v>86</v>
      </c>
      <c r="Q97" s="81" t="s">
        <v>1289</v>
      </c>
      <c r="R97" s="11">
        <v>29.523610999999999</v>
      </c>
      <c r="S97" s="11">
        <v>-81.718086999999997</v>
      </c>
      <c r="T97" s="11" t="s">
        <v>1290</v>
      </c>
      <c r="U97" s="11" t="s">
        <v>1291</v>
      </c>
      <c r="V97" s="17" t="s">
        <v>1292</v>
      </c>
      <c r="W97" s="17" t="s">
        <v>110</v>
      </c>
      <c r="X97" s="70">
        <v>32</v>
      </c>
      <c r="Y97" s="70">
        <v>20</v>
      </c>
      <c r="Z97" s="13">
        <v>17839</v>
      </c>
      <c r="AA97" s="13">
        <v>17862</v>
      </c>
      <c r="AB97" s="13">
        <v>17914</v>
      </c>
      <c r="AC97" s="13">
        <v>17914</v>
      </c>
      <c r="AD97" s="86">
        <v>3892</v>
      </c>
      <c r="AE97" s="86">
        <v>3892</v>
      </c>
      <c r="AF97" s="70" t="s">
        <v>1293</v>
      </c>
      <c r="AG97" s="17" t="s">
        <v>1294</v>
      </c>
      <c r="AH97" s="17" t="s">
        <v>1295</v>
      </c>
      <c r="AI97" s="70" t="s">
        <v>94</v>
      </c>
      <c r="AJ97" s="17" t="s">
        <v>94</v>
      </c>
      <c r="AK97" s="17" t="s">
        <v>95</v>
      </c>
      <c r="AL97" s="17" t="s">
        <v>1296</v>
      </c>
      <c r="AM97" s="17" t="s">
        <v>94</v>
      </c>
      <c r="AN97" s="17" t="s">
        <v>94</v>
      </c>
      <c r="AO97" s="17" t="s">
        <v>98</v>
      </c>
      <c r="AP97" s="17" t="s">
        <v>98</v>
      </c>
      <c r="AQ97" s="17" t="s">
        <v>98</v>
      </c>
      <c r="AR97" s="17" t="s">
        <v>94</v>
      </c>
      <c r="AS97" s="17" t="s">
        <v>1297</v>
      </c>
      <c r="AT97" s="17">
        <v>119</v>
      </c>
      <c r="AU97" s="30" t="s">
        <v>1298</v>
      </c>
      <c r="AV97" s="14">
        <v>1838</v>
      </c>
      <c r="AW97" s="74"/>
      <c r="AX97" s="1" t="s">
        <v>1299</v>
      </c>
      <c r="AY97" s="17" t="s">
        <v>101</v>
      </c>
    </row>
    <row r="98" spans="1:51" ht="12.75" customHeight="1" x14ac:dyDescent="0.25">
      <c r="A98" s="5">
        <v>97</v>
      </c>
      <c r="B98" s="9">
        <v>97</v>
      </c>
      <c r="C98" s="9" t="s">
        <v>1300</v>
      </c>
      <c r="D98" s="57" t="str">
        <f>HYPERLINK("http://prodenv.dep.state.fl.us/DepNexus/public/electronic-documents/OG_97/facility!search","OG_97_Docs")</f>
        <v>OG_97_Docs</v>
      </c>
      <c r="E98" s="57" t="str">
        <f>HYPERLINK("https://ca.dep.state.fl.us/mapdirect/?focus=oilandgas&amp;zoom=query&amp;querytype=oilandgas&amp;queryvalues=OG_97","OG_97_Map")</f>
        <v>OG_97_Map</v>
      </c>
      <c r="F98" s="1" t="s">
        <v>215</v>
      </c>
      <c r="G98" s="1" t="s">
        <v>79</v>
      </c>
      <c r="H98" s="1" t="s">
        <v>128</v>
      </c>
      <c r="I98" s="1" t="s">
        <v>1301</v>
      </c>
      <c r="J98" s="17" t="s">
        <v>82</v>
      </c>
      <c r="K98" s="17" t="s">
        <v>83</v>
      </c>
      <c r="L98" s="17"/>
      <c r="M98" s="17" t="s">
        <v>84</v>
      </c>
      <c r="N98" s="52" t="s">
        <v>86</v>
      </c>
      <c r="O98" s="17" t="s">
        <v>86</v>
      </c>
      <c r="P98" s="17" t="s">
        <v>86</v>
      </c>
      <c r="Q98" s="81" t="s">
        <v>1302</v>
      </c>
      <c r="R98" s="11">
        <v>29.747637000000001</v>
      </c>
      <c r="S98" s="11">
        <v>-83.275360000000006</v>
      </c>
      <c r="T98" s="11" t="s">
        <v>1303</v>
      </c>
      <c r="U98" s="11" t="s">
        <v>1304</v>
      </c>
      <c r="V98" s="17" t="s">
        <v>504</v>
      </c>
      <c r="W98" s="17" t="s">
        <v>110</v>
      </c>
      <c r="X98" s="70">
        <v>41</v>
      </c>
      <c r="Y98" s="70">
        <v>31</v>
      </c>
      <c r="Z98" s="13">
        <v>17903</v>
      </c>
      <c r="AA98" s="13">
        <v>17923</v>
      </c>
      <c r="AB98" s="13">
        <v>17963</v>
      </c>
      <c r="AC98" s="13">
        <v>17963</v>
      </c>
      <c r="AD98" s="86">
        <v>5104</v>
      </c>
      <c r="AE98" s="86">
        <v>5104</v>
      </c>
      <c r="AF98" s="70" t="s">
        <v>1305</v>
      </c>
      <c r="AG98" s="17" t="s">
        <v>1306</v>
      </c>
      <c r="AH98" s="17" t="s">
        <v>1307</v>
      </c>
      <c r="AI98" s="70" t="s">
        <v>94</v>
      </c>
      <c r="AJ98" s="17" t="s">
        <v>94</v>
      </c>
      <c r="AK98" s="17" t="s">
        <v>95</v>
      </c>
      <c r="AL98" s="17" t="s">
        <v>1308</v>
      </c>
      <c r="AM98" s="17" t="s">
        <v>94</v>
      </c>
      <c r="AN98" s="17" t="s">
        <v>94</v>
      </c>
      <c r="AO98" s="17" t="s">
        <v>98</v>
      </c>
      <c r="AP98" s="17" t="s">
        <v>98</v>
      </c>
      <c r="AQ98" s="17" t="s">
        <v>98</v>
      </c>
      <c r="AR98" s="17" t="s">
        <v>94</v>
      </c>
      <c r="AS98" s="17" t="s">
        <v>1309</v>
      </c>
      <c r="AT98" s="17">
        <v>110</v>
      </c>
      <c r="AU98" s="30" t="s">
        <v>1310</v>
      </c>
      <c r="AV98" s="14">
        <v>1863</v>
      </c>
      <c r="AW98" s="74"/>
      <c r="AX98" s="1"/>
      <c r="AY98" s="17" t="s">
        <v>101</v>
      </c>
    </row>
    <row r="99" spans="1:51" ht="12.75" customHeight="1" x14ac:dyDescent="0.25">
      <c r="A99" s="5">
        <v>98</v>
      </c>
      <c r="B99" s="9">
        <v>98</v>
      </c>
      <c r="C99" s="9" t="s">
        <v>1311</v>
      </c>
      <c r="D99" s="57" t="str">
        <f>HYPERLINK("http://prodenv.dep.state.fl.us/DepNexus/public/electronic-documents/OG_98/facility!search","OG_98_Docs")</f>
        <v>OG_98_Docs</v>
      </c>
      <c r="E99" s="57" t="str">
        <f>HYPERLINK("https://ca.dep.state.fl.us/mapdirect/?focus=oilandgas&amp;zoom=query&amp;querytype=oilandgas&amp;queryvalues=OG_98","OG_98_Map")</f>
        <v>OG_98_Map</v>
      </c>
      <c r="F99" s="1" t="s">
        <v>265</v>
      </c>
      <c r="G99" s="1" t="s">
        <v>79</v>
      </c>
      <c r="H99" s="1" t="s">
        <v>176</v>
      </c>
      <c r="I99" s="1" t="s">
        <v>1312</v>
      </c>
      <c r="J99" s="17" t="s">
        <v>82</v>
      </c>
      <c r="K99" s="17" t="s">
        <v>83</v>
      </c>
      <c r="L99" s="17"/>
      <c r="M99" s="17"/>
      <c r="N99" s="52" t="s">
        <v>193</v>
      </c>
      <c r="O99" s="17" t="s">
        <v>270</v>
      </c>
      <c r="P99" s="17" t="s">
        <v>86</v>
      </c>
      <c r="Q99" s="81" t="s">
        <v>1313</v>
      </c>
      <c r="R99" s="11">
        <v>26.335139000000002</v>
      </c>
      <c r="S99" s="11">
        <v>-81.512065000000007</v>
      </c>
      <c r="T99" s="11" t="s">
        <v>1314</v>
      </c>
      <c r="U99" s="11" t="s">
        <v>1315</v>
      </c>
      <c r="V99" s="17" t="s">
        <v>809</v>
      </c>
      <c r="W99" s="17" t="s">
        <v>110</v>
      </c>
      <c r="X99" s="70">
        <v>37</v>
      </c>
      <c r="Y99" s="70">
        <v>24</v>
      </c>
      <c r="Z99" s="13">
        <v>17903</v>
      </c>
      <c r="AA99" s="13">
        <v>17915</v>
      </c>
      <c r="AB99" s="13">
        <v>17973</v>
      </c>
      <c r="AC99" s="13">
        <v>17973</v>
      </c>
      <c r="AD99" s="86">
        <v>11900</v>
      </c>
      <c r="AE99" s="86">
        <v>11900</v>
      </c>
      <c r="AF99" s="70" t="s">
        <v>309</v>
      </c>
      <c r="AG99" s="17" t="s">
        <v>1316</v>
      </c>
      <c r="AH99" s="17" t="s">
        <v>1317</v>
      </c>
      <c r="AI99" s="70" t="s">
        <v>94</v>
      </c>
      <c r="AJ99" s="17" t="s">
        <v>94</v>
      </c>
      <c r="AK99" s="17" t="s">
        <v>95</v>
      </c>
      <c r="AL99" s="17" t="s">
        <v>1318</v>
      </c>
      <c r="AM99" s="17" t="s">
        <v>94</v>
      </c>
      <c r="AN99" s="17" t="s">
        <v>86</v>
      </c>
      <c r="AO99" s="17" t="s">
        <v>98</v>
      </c>
      <c r="AP99" s="17" t="s">
        <v>98</v>
      </c>
      <c r="AQ99" s="17" t="s">
        <v>98</v>
      </c>
      <c r="AR99" s="17" t="s">
        <v>94</v>
      </c>
      <c r="AS99" s="17" t="s">
        <v>1319</v>
      </c>
      <c r="AT99" s="17"/>
      <c r="AU99" s="30" t="s">
        <v>1320</v>
      </c>
      <c r="AV99" s="14">
        <v>1885</v>
      </c>
      <c r="AW99" s="74"/>
      <c r="AX99" s="1"/>
      <c r="AY99" s="17" t="s">
        <v>101</v>
      </c>
    </row>
    <row r="100" spans="1:51" ht="15" customHeight="1" x14ac:dyDescent="0.25">
      <c r="A100" s="5">
        <v>99</v>
      </c>
      <c r="B100" s="9">
        <v>99</v>
      </c>
      <c r="C100" s="9" t="s">
        <v>1321</v>
      </c>
      <c r="D100" s="57" t="str">
        <f>HYPERLINK("http://prodenv.dep.state.fl.us/DepNexus/public/electronic-documents/OG_99/facility!search","OG_99_Docs")</f>
        <v>OG_99_Docs</v>
      </c>
      <c r="E100" s="57" t="str">
        <f>HYPERLINK("https://ca.dep.state.fl.us/mapdirect/?focus=oilandgas&amp;zoom=query&amp;querytype=oilandgas&amp;queryvalues=OG_99","OG_99_Map")</f>
        <v>OG_99_Map</v>
      </c>
      <c r="F100" s="1" t="s">
        <v>265</v>
      </c>
      <c r="G100" s="1" t="s">
        <v>266</v>
      </c>
      <c r="H100" s="1" t="s">
        <v>176</v>
      </c>
      <c r="I100" s="1" t="s">
        <v>1322</v>
      </c>
      <c r="J100" s="17" t="s">
        <v>268</v>
      </c>
      <c r="K100" s="17" t="s">
        <v>412</v>
      </c>
      <c r="L100" s="17"/>
      <c r="M100" s="17"/>
      <c r="N100" s="52" t="s">
        <v>193</v>
      </c>
      <c r="O100" s="17" t="s">
        <v>270</v>
      </c>
      <c r="P100" s="17" t="s">
        <v>86</v>
      </c>
      <c r="Q100" s="81" t="s">
        <v>1323</v>
      </c>
      <c r="R100" s="11">
        <v>26.304784999999999</v>
      </c>
      <c r="S100" s="11">
        <v>-81.377718000000002</v>
      </c>
      <c r="T100" s="11" t="s">
        <v>1324</v>
      </c>
      <c r="U100" s="11" t="s">
        <v>1325</v>
      </c>
      <c r="V100" s="17" t="s">
        <v>1326</v>
      </c>
      <c r="W100" s="17" t="s">
        <v>110</v>
      </c>
      <c r="X100" s="70">
        <v>40</v>
      </c>
      <c r="Y100" s="70">
        <v>21</v>
      </c>
      <c r="Z100" s="13">
        <v>17903</v>
      </c>
      <c r="AA100" s="13">
        <v>17905</v>
      </c>
      <c r="AB100" s="13">
        <v>17980</v>
      </c>
      <c r="AC100" s="13">
        <v>31573</v>
      </c>
      <c r="AD100" s="86">
        <v>11585</v>
      </c>
      <c r="AE100" s="86">
        <v>11585</v>
      </c>
      <c r="AF100" s="70" t="s">
        <v>1327</v>
      </c>
      <c r="AG100" s="23" t="s">
        <v>1328</v>
      </c>
      <c r="AH100" s="17" t="s">
        <v>1329</v>
      </c>
      <c r="AI100" s="71" t="s">
        <v>1330</v>
      </c>
      <c r="AJ100" s="23" t="s">
        <v>1331</v>
      </c>
      <c r="AK100" s="17" t="s">
        <v>95</v>
      </c>
      <c r="AL100" s="17" t="s">
        <v>1332</v>
      </c>
      <c r="AM100" s="17" t="s">
        <v>94</v>
      </c>
      <c r="AN100" s="17" t="s">
        <v>1333</v>
      </c>
      <c r="AO100" s="17" t="s">
        <v>1334</v>
      </c>
      <c r="AP100" s="17" t="s">
        <v>1335</v>
      </c>
      <c r="AQ100" s="17" t="s">
        <v>1336</v>
      </c>
      <c r="AR100" s="17" t="s">
        <v>94</v>
      </c>
      <c r="AS100" s="17" t="s">
        <v>1337</v>
      </c>
      <c r="AT100" s="17"/>
      <c r="AU100" s="30" t="s">
        <v>1338</v>
      </c>
      <c r="AV100" s="14">
        <v>1884</v>
      </c>
      <c r="AW100" s="74"/>
      <c r="AX100" s="1"/>
      <c r="AY100" s="17" t="s">
        <v>101</v>
      </c>
    </row>
    <row r="101" spans="1:51" ht="12.75" customHeight="1" x14ac:dyDescent="0.25">
      <c r="A101" s="5">
        <v>100</v>
      </c>
      <c r="B101" s="9">
        <v>100</v>
      </c>
      <c r="C101" s="9" t="s">
        <v>1339</v>
      </c>
      <c r="D101" s="57" t="str">
        <f>HYPERLINK("http://prodenv.dep.state.fl.us/DepNexus/public/electronic-documents/OG_100/facility!search","OG_100_Docs")</f>
        <v>OG_100_Docs</v>
      </c>
      <c r="E101" s="57" t="str">
        <f>HYPERLINK("https://ca.dep.state.fl.us/mapdirect/?focus=oilandgas&amp;zoom=query&amp;querytype=oilandgas&amp;queryvalues=OG_100","OG_100_Map")</f>
        <v>OG_100_Map</v>
      </c>
      <c r="F101" s="1" t="s">
        <v>127</v>
      </c>
      <c r="G101" s="1" t="s">
        <v>79</v>
      </c>
      <c r="H101" s="1" t="s">
        <v>909</v>
      </c>
      <c r="I101" s="1" t="s">
        <v>1340</v>
      </c>
      <c r="J101" s="17" t="s">
        <v>82</v>
      </c>
      <c r="K101" s="17" t="s">
        <v>83</v>
      </c>
      <c r="L101" s="17"/>
      <c r="M101" s="17"/>
      <c r="N101" s="52" t="s">
        <v>86</v>
      </c>
      <c r="O101" s="17" t="s">
        <v>86</v>
      </c>
      <c r="P101" s="17" t="s">
        <v>86</v>
      </c>
      <c r="Q101" s="81" t="s">
        <v>1341</v>
      </c>
      <c r="R101" s="11">
        <v>29.956923</v>
      </c>
      <c r="S101" s="11">
        <v>-82.955957999999995</v>
      </c>
      <c r="T101" s="11" t="s">
        <v>1342</v>
      </c>
      <c r="U101" s="11" t="s">
        <v>1343</v>
      </c>
      <c r="V101" s="17" t="s">
        <v>1344</v>
      </c>
      <c r="W101" s="17" t="s">
        <v>110</v>
      </c>
      <c r="X101" s="70"/>
      <c r="Y101" s="70">
        <v>45</v>
      </c>
      <c r="Z101" s="13">
        <v>17930</v>
      </c>
      <c r="AA101" s="13">
        <v>17946</v>
      </c>
      <c r="AB101" s="13">
        <v>17986</v>
      </c>
      <c r="AC101" s="13">
        <v>17986</v>
      </c>
      <c r="AD101" s="86">
        <v>3507</v>
      </c>
      <c r="AE101" s="86">
        <v>3507</v>
      </c>
      <c r="AF101" s="70" t="s">
        <v>1345</v>
      </c>
      <c r="AG101" s="17" t="s">
        <v>1346</v>
      </c>
      <c r="AH101" s="17" t="s">
        <v>1347</v>
      </c>
      <c r="AI101" s="70" t="s">
        <v>94</v>
      </c>
      <c r="AJ101" s="17" t="s">
        <v>94</v>
      </c>
      <c r="AK101" s="17" t="s">
        <v>95</v>
      </c>
      <c r="AL101" s="17" t="s">
        <v>1348</v>
      </c>
      <c r="AM101" s="17" t="s">
        <v>94</v>
      </c>
      <c r="AN101" s="17" t="s">
        <v>94</v>
      </c>
      <c r="AO101" s="17" t="s">
        <v>98</v>
      </c>
      <c r="AP101" s="17" t="s">
        <v>98</v>
      </c>
      <c r="AQ101" s="17" t="s">
        <v>98</v>
      </c>
      <c r="AR101" s="17" t="s">
        <v>94</v>
      </c>
      <c r="AS101" s="17" t="s">
        <v>1349</v>
      </c>
      <c r="AT101" s="17"/>
      <c r="AU101" s="30" t="s">
        <v>1350</v>
      </c>
      <c r="AV101" s="14">
        <v>1866</v>
      </c>
      <c r="AW101" s="74"/>
      <c r="AX101" s="1"/>
      <c r="AY101" s="17" t="s">
        <v>101</v>
      </c>
    </row>
    <row r="102" spans="1:51" ht="12.75" customHeight="1" x14ac:dyDescent="0.25">
      <c r="A102" s="5">
        <v>101</v>
      </c>
      <c r="B102" s="9">
        <v>101</v>
      </c>
      <c r="C102" s="9" t="s">
        <v>1351</v>
      </c>
      <c r="D102" s="57" t="str">
        <f>HYPERLINK("http://prodenv.dep.state.fl.us/DepNexus/public/electronic-documents/OG_101/facility!search","OG_101_Docs")</f>
        <v>OG_101_Docs</v>
      </c>
      <c r="E102" s="57" t="str">
        <f>HYPERLINK("https://ca.dep.state.fl.us/mapdirect/?focus=oilandgas&amp;zoom=query&amp;querytype=oilandgas&amp;queryvalues=OG_101","OG_101_Map")</f>
        <v>OG_101_Map</v>
      </c>
      <c r="F102" s="1" t="s">
        <v>740</v>
      </c>
      <c r="G102" s="1" t="s">
        <v>79</v>
      </c>
      <c r="H102" s="1" t="s">
        <v>128</v>
      </c>
      <c r="I102" s="1" t="s">
        <v>1352</v>
      </c>
      <c r="J102" s="17" t="s">
        <v>82</v>
      </c>
      <c r="K102" s="17" t="s">
        <v>83</v>
      </c>
      <c r="L102" s="17"/>
      <c r="M102" s="17" t="s">
        <v>84</v>
      </c>
      <c r="N102" s="52" t="s">
        <v>193</v>
      </c>
      <c r="O102" s="17" t="s">
        <v>86</v>
      </c>
      <c r="P102" s="17" t="s">
        <v>86</v>
      </c>
      <c r="Q102" s="81" t="s">
        <v>1353</v>
      </c>
      <c r="R102" s="11">
        <v>29.257581999999999</v>
      </c>
      <c r="S102" s="11">
        <v>-82.055896000000004</v>
      </c>
      <c r="T102" s="11" t="s">
        <v>1354</v>
      </c>
      <c r="U102" s="11" t="s">
        <v>1355</v>
      </c>
      <c r="V102" s="17" t="s">
        <v>352</v>
      </c>
      <c r="W102" s="17" t="s">
        <v>110</v>
      </c>
      <c r="X102" s="70">
        <v>79</v>
      </c>
      <c r="Y102" s="70">
        <v>69</v>
      </c>
      <c r="Z102" s="13">
        <v>17958</v>
      </c>
      <c r="AA102" s="13">
        <v>17973</v>
      </c>
      <c r="AB102" s="13">
        <v>18011</v>
      </c>
      <c r="AC102" s="13">
        <v>18011</v>
      </c>
      <c r="AD102" s="86">
        <v>3845</v>
      </c>
      <c r="AE102" s="86">
        <v>3845</v>
      </c>
      <c r="AF102" s="70" t="s">
        <v>1356</v>
      </c>
      <c r="AG102" s="17" t="s">
        <v>1357</v>
      </c>
      <c r="AH102" s="17" t="s">
        <v>94</v>
      </c>
      <c r="AI102" s="70" t="s">
        <v>94</v>
      </c>
      <c r="AJ102" s="17" t="s">
        <v>94</v>
      </c>
      <c r="AK102" s="17" t="s">
        <v>95</v>
      </c>
      <c r="AL102" s="17" t="s">
        <v>1358</v>
      </c>
      <c r="AM102" s="17" t="s">
        <v>94</v>
      </c>
      <c r="AN102" s="17" t="s">
        <v>94</v>
      </c>
      <c r="AO102" s="17" t="s">
        <v>98</v>
      </c>
      <c r="AP102" s="17" t="s">
        <v>98</v>
      </c>
      <c r="AQ102" s="17" t="s">
        <v>98</v>
      </c>
      <c r="AR102" s="17" t="s">
        <v>94</v>
      </c>
      <c r="AS102" s="17" t="s">
        <v>1359</v>
      </c>
      <c r="AT102" s="17">
        <v>108</v>
      </c>
      <c r="AU102" s="30" t="s">
        <v>1360</v>
      </c>
      <c r="AV102" s="14">
        <v>1904</v>
      </c>
      <c r="AW102" s="74"/>
      <c r="AX102" s="1" t="s">
        <v>1361</v>
      </c>
      <c r="AY102" s="17" t="s">
        <v>101</v>
      </c>
    </row>
    <row r="103" spans="1:51" ht="15" customHeight="1" x14ac:dyDescent="0.25">
      <c r="A103" s="5">
        <v>102</v>
      </c>
      <c r="B103" s="9">
        <v>102</v>
      </c>
      <c r="C103" s="9" t="s">
        <v>1362</v>
      </c>
      <c r="D103" s="57" t="str">
        <f>HYPERLINK("http://prodenv.dep.state.fl.us/DepNexus/public/electronic-documents/OG_102/facility!search","OG_102_Docs")</f>
        <v>OG_102_Docs</v>
      </c>
      <c r="E103" s="57" t="str">
        <f>HYPERLINK("https://ca.dep.state.fl.us/mapdirect/?focus=oilandgas&amp;zoom=query&amp;querytype=oilandgas&amp;queryvalues=OG_102","OG_102_Map")</f>
        <v>OG_102_Map</v>
      </c>
      <c r="F103" s="1" t="s">
        <v>265</v>
      </c>
      <c r="G103" s="1" t="s">
        <v>266</v>
      </c>
      <c r="H103" s="1" t="s">
        <v>1363</v>
      </c>
      <c r="I103" s="1" t="s">
        <v>1364</v>
      </c>
      <c r="J103" s="17" t="s">
        <v>1365</v>
      </c>
      <c r="K103" s="17" t="s">
        <v>1366</v>
      </c>
      <c r="L103" s="17"/>
      <c r="M103" s="17"/>
      <c r="N103" s="25" t="s">
        <v>1367</v>
      </c>
      <c r="O103" s="17" t="s">
        <v>270</v>
      </c>
      <c r="P103" s="17" t="s">
        <v>86</v>
      </c>
      <c r="Q103" s="81" t="s">
        <v>1368</v>
      </c>
      <c r="R103" s="11">
        <v>26.297478999999999</v>
      </c>
      <c r="S103" s="11">
        <v>-81.361446999999998</v>
      </c>
      <c r="T103" s="11" t="s">
        <v>1369</v>
      </c>
      <c r="U103" s="11" t="s">
        <v>1370</v>
      </c>
      <c r="V103" s="17" t="s">
        <v>1371</v>
      </c>
      <c r="W103" s="17" t="s">
        <v>110</v>
      </c>
      <c r="X103" s="70">
        <v>33</v>
      </c>
      <c r="Y103" s="70">
        <v>22</v>
      </c>
      <c r="Z103" s="13">
        <v>21624</v>
      </c>
      <c r="AA103" s="13">
        <v>17980</v>
      </c>
      <c r="AB103" s="13">
        <v>18050</v>
      </c>
      <c r="AC103" s="13"/>
      <c r="AD103" s="86">
        <v>11579</v>
      </c>
      <c r="AE103" s="86">
        <v>11579</v>
      </c>
      <c r="AF103" s="70" t="s">
        <v>1372</v>
      </c>
      <c r="AG103" s="17" t="s">
        <v>1373</v>
      </c>
      <c r="AH103" s="17" t="s">
        <v>1374</v>
      </c>
      <c r="AI103" s="70" t="s">
        <v>1375</v>
      </c>
      <c r="AJ103" s="17" t="s">
        <v>1376</v>
      </c>
      <c r="AK103" s="17" t="s">
        <v>95</v>
      </c>
      <c r="AL103" s="17" t="s">
        <v>1377</v>
      </c>
      <c r="AM103" s="17"/>
      <c r="AN103" s="17" t="s">
        <v>86</v>
      </c>
      <c r="AO103" s="17" t="s">
        <v>1378</v>
      </c>
      <c r="AP103" s="17" t="s">
        <v>1379</v>
      </c>
      <c r="AQ103" s="17" t="s">
        <v>1380</v>
      </c>
      <c r="AR103" s="17" t="s">
        <v>1381</v>
      </c>
      <c r="AS103" s="17" t="s">
        <v>1382</v>
      </c>
      <c r="AT103" s="17"/>
      <c r="AU103" s="30" t="s">
        <v>1383</v>
      </c>
      <c r="AV103" s="14">
        <v>1916</v>
      </c>
      <c r="AW103" s="74">
        <v>310127</v>
      </c>
      <c r="AX103" s="1" t="s">
        <v>1384</v>
      </c>
      <c r="AY103" s="17" t="s">
        <v>101</v>
      </c>
    </row>
    <row r="104" spans="1:51" ht="12.75" customHeight="1" x14ac:dyDescent="0.25">
      <c r="A104" s="5">
        <v>103</v>
      </c>
      <c r="B104" s="9">
        <v>103</v>
      </c>
      <c r="C104" s="9" t="s">
        <v>1385</v>
      </c>
      <c r="D104" s="57" t="str">
        <f>HYPERLINK("http://prodenv.dep.state.fl.us/DepNexus/public/electronic-documents/OG_103/facility!search","OG_103_Docs")</f>
        <v>OG_103_Docs</v>
      </c>
      <c r="E104" s="57" t="str">
        <f>HYPERLINK("https://ca.dep.state.fl.us/mapdirect/?focus=oilandgas&amp;zoom=query&amp;querytype=oilandgas&amp;queryvalues=OG_103","OG_103_Map")</f>
        <v>OG_103_Map</v>
      </c>
      <c r="F104" s="1" t="s">
        <v>265</v>
      </c>
      <c r="G104" s="1" t="s">
        <v>79</v>
      </c>
      <c r="H104" s="1" t="s">
        <v>176</v>
      </c>
      <c r="I104" s="1" t="s">
        <v>1386</v>
      </c>
      <c r="J104" s="17" t="s">
        <v>82</v>
      </c>
      <c r="K104" s="17" t="s">
        <v>83</v>
      </c>
      <c r="L104" s="17"/>
      <c r="M104" s="17"/>
      <c r="N104" s="52" t="s">
        <v>193</v>
      </c>
      <c r="O104" s="17" t="s">
        <v>270</v>
      </c>
      <c r="P104" s="17" t="s">
        <v>86</v>
      </c>
      <c r="Q104" s="81" t="s">
        <v>1387</v>
      </c>
      <c r="R104" s="11">
        <v>26.368074</v>
      </c>
      <c r="S104" s="11">
        <v>-81.552824999999999</v>
      </c>
      <c r="T104" s="11" t="s">
        <v>1388</v>
      </c>
      <c r="U104" s="11" t="s">
        <v>1389</v>
      </c>
      <c r="V104" s="17" t="s">
        <v>1390</v>
      </c>
      <c r="W104" s="17" t="s">
        <v>110</v>
      </c>
      <c r="X104" s="70">
        <v>41</v>
      </c>
      <c r="Y104" s="70">
        <v>25</v>
      </c>
      <c r="Z104" s="13">
        <v>17994</v>
      </c>
      <c r="AA104" s="13">
        <v>17995</v>
      </c>
      <c r="AB104" s="13">
        <v>18106</v>
      </c>
      <c r="AC104" s="13">
        <v>18106</v>
      </c>
      <c r="AD104" s="86">
        <v>12210</v>
      </c>
      <c r="AE104" s="86">
        <v>12210</v>
      </c>
      <c r="AF104" s="70" t="s">
        <v>1391</v>
      </c>
      <c r="AG104" s="17" t="s">
        <v>1392</v>
      </c>
      <c r="AH104" s="17" t="s">
        <v>1393</v>
      </c>
      <c r="AI104" s="70" t="s">
        <v>94</v>
      </c>
      <c r="AJ104" s="17" t="s">
        <v>94</v>
      </c>
      <c r="AK104" s="17" t="s">
        <v>95</v>
      </c>
      <c r="AL104" s="17" t="s">
        <v>1394</v>
      </c>
      <c r="AM104" s="17" t="s">
        <v>94</v>
      </c>
      <c r="AN104" s="17" t="s">
        <v>86</v>
      </c>
      <c r="AO104" s="17" t="s">
        <v>98</v>
      </c>
      <c r="AP104" s="17" t="s">
        <v>98</v>
      </c>
      <c r="AQ104" s="17" t="s">
        <v>98</v>
      </c>
      <c r="AR104" s="17" t="s">
        <v>94</v>
      </c>
      <c r="AS104" s="17" t="s">
        <v>1395</v>
      </c>
      <c r="AT104" s="17"/>
      <c r="AU104" s="30" t="s">
        <v>1396</v>
      </c>
      <c r="AV104" s="14">
        <v>2103</v>
      </c>
      <c r="AW104" s="74"/>
      <c r="AX104" s="1"/>
      <c r="AY104" s="17" t="s">
        <v>101</v>
      </c>
    </row>
    <row r="105" spans="1:51" ht="12.75" customHeight="1" x14ac:dyDescent="0.25">
      <c r="A105" s="5">
        <v>104</v>
      </c>
      <c r="B105" s="9">
        <v>104</v>
      </c>
      <c r="C105" s="9" t="s">
        <v>1397</v>
      </c>
      <c r="D105" s="57" t="str">
        <f>HYPERLINK("http://prodenv.dep.state.fl.us/DepNexus/public/electronic-documents/OG_104/facility!search","OG_104_Docs")</f>
        <v>OG_104_Docs</v>
      </c>
      <c r="E105" s="57" t="str">
        <f>HYPERLINK("https://ca.dep.state.fl.us/mapdirect/?focus=oilandgas&amp;zoom=query&amp;querytype=oilandgas&amp;queryvalues=OG_104","OG_104_Map")</f>
        <v>OG_104_Map</v>
      </c>
      <c r="F105" s="1" t="s">
        <v>1041</v>
      </c>
      <c r="G105" s="1" t="s">
        <v>79</v>
      </c>
      <c r="H105" s="1" t="s">
        <v>128</v>
      </c>
      <c r="I105" s="1" t="s">
        <v>1398</v>
      </c>
      <c r="J105" s="17" t="s">
        <v>82</v>
      </c>
      <c r="K105" s="17" t="s">
        <v>83</v>
      </c>
      <c r="L105" s="17"/>
      <c r="M105" s="17"/>
      <c r="N105" s="52" t="s">
        <v>130</v>
      </c>
      <c r="O105" s="17" t="s">
        <v>86</v>
      </c>
      <c r="P105" s="17" t="s">
        <v>86</v>
      </c>
      <c r="Q105" s="81" t="s">
        <v>1399</v>
      </c>
      <c r="R105" s="11">
        <v>30.112714</v>
      </c>
      <c r="S105" s="11">
        <v>-82.694152000000003</v>
      </c>
      <c r="T105" s="11" t="s">
        <v>1400</v>
      </c>
      <c r="U105" s="11" t="s">
        <v>1401</v>
      </c>
      <c r="V105" s="17" t="s">
        <v>1402</v>
      </c>
      <c r="W105" s="17" t="s">
        <v>110</v>
      </c>
      <c r="X105" s="70">
        <v>87</v>
      </c>
      <c r="Y105" s="70">
        <v>72</v>
      </c>
      <c r="Z105" s="13">
        <v>18014</v>
      </c>
      <c r="AA105" s="13">
        <v>18021</v>
      </c>
      <c r="AB105" s="13">
        <v>18049</v>
      </c>
      <c r="AC105" s="13">
        <v>18049</v>
      </c>
      <c r="AD105" s="86">
        <v>3051</v>
      </c>
      <c r="AE105" s="86">
        <v>3051</v>
      </c>
      <c r="AF105" s="70" t="s">
        <v>1403</v>
      </c>
      <c r="AG105" s="17" t="s">
        <v>1404</v>
      </c>
      <c r="AH105" s="17" t="s">
        <v>1405</v>
      </c>
      <c r="AI105" s="70" t="s">
        <v>94</v>
      </c>
      <c r="AJ105" s="17" t="s">
        <v>94</v>
      </c>
      <c r="AK105" s="17" t="s">
        <v>95</v>
      </c>
      <c r="AL105" s="17" t="s">
        <v>1406</v>
      </c>
      <c r="AM105" s="17" t="s">
        <v>94</v>
      </c>
      <c r="AN105" s="17" t="s">
        <v>94</v>
      </c>
      <c r="AO105" s="17" t="s">
        <v>98</v>
      </c>
      <c r="AP105" s="17" t="s">
        <v>98</v>
      </c>
      <c r="AQ105" s="17" t="s">
        <v>98</v>
      </c>
      <c r="AR105" s="17" t="s">
        <v>94</v>
      </c>
      <c r="AS105" s="17" t="s">
        <v>1407</v>
      </c>
      <c r="AT105" s="17">
        <v>100</v>
      </c>
      <c r="AU105" s="30" t="s">
        <v>1408</v>
      </c>
      <c r="AV105" s="14">
        <v>1915</v>
      </c>
      <c r="AW105" s="74"/>
      <c r="AX105" s="1"/>
      <c r="AY105" s="17" t="s">
        <v>101</v>
      </c>
    </row>
    <row r="106" spans="1:51" ht="12.75" customHeight="1" x14ac:dyDescent="0.25">
      <c r="A106" s="5">
        <v>105</v>
      </c>
      <c r="B106" s="9">
        <v>105</v>
      </c>
      <c r="C106" s="9" t="s">
        <v>1409</v>
      </c>
      <c r="D106" s="57" t="str">
        <f>HYPERLINK("http://prodenv.dep.state.fl.us/DepNexus/public/electronic-documents/OG_105/facility!search","OG_105_Docs")</f>
        <v>OG_105_Docs</v>
      </c>
      <c r="E106" s="57" t="str">
        <f>HYPERLINK("https://ca.dep.state.fl.us/mapdirect/?focus=oilandgas&amp;zoom=query&amp;querytype=oilandgas&amp;queryvalues=OG_105","OG_105_Map")</f>
        <v>OG_105_Map</v>
      </c>
      <c r="F106" s="1" t="s">
        <v>241</v>
      </c>
      <c r="G106" s="1" t="s">
        <v>79</v>
      </c>
      <c r="H106" s="1" t="s">
        <v>176</v>
      </c>
      <c r="I106" s="1" t="s">
        <v>1410</v>
      </c>
      <c r="J106" s="17" t="s">
        <v>82</v>
      </c>
      <c r="K106" s="17" t="s">
        <v>83</v>
      </c>
      <c r="L106" s="17"/>
      <c r="M106" s="17" t="s">
        <v>84</v>
      </c>
      <c r="N106" s="52" t="s">
        <v>193</v>
      </c>
      <c r="O106" s="17" t="s">
        <v>86</v>
      </c>
      <c r="P106" s="17" t="s">
        <v>86</v>
      </c>
      <c r="Q106" s="81" t="s">
        <v>1411</v>
      </c>
      <c r="R106" s="11">
        <v>29.079591000000001</v>
      </c>
      <c r="S106" s="11">
        <v>-82.620917000000006</v>
      </c>
      <c r="T106" s="11" t="s">
        <v>1412</v>
      </c>
      <c r="U106" s="11" t="s">
        <v>1413</v>
      </c>
      <c r="V106" s="17" t="s">
        <v>1414</v>
      </c>
      <c r="W106" s="17" t="s">
        <v>110</v>
      </c>
      <c r="X106" s="70">
        <v>58</v>
      </c>
      <c r="Y106" s="70">
        <v>46</v>
      </c>
      <c r="Z106" s="13">
        <v>18028</v>
      </c>
      <c r="AA106" s="13">
        <v>18034</v>
      </c>
      <c r="AB106" s="13">
        <v>18129</v>
      </c>
      <c r="AC106" s="13">
        <v>18129</v>
      </c>
      <c r="AD106" s="86">
        <v>4609</v>
      </c>
      <c r="AE106" s="86">
        <v>4609</v>
      </c>
      <c r="AF106" s="70" t="s">
        <v>1415</v>
      </c>
      <c r="AG106" s="17" t="s">
        <v>1416</v>
      </c>
      <c r="AH106" s="17" t="s">
        <v>94</v>
      </c>
      <c r="AI106" s="70" t="s">
        <v>94</v>
      </c>
      <c r="AJ106" s="17" t="s">
        <v>94</v>
      </c>
      <c r="AK106" s="17" t="s">
        <v>95</v>
      </c>
      <c r="AL106" s="17" t="s">
        <v>1417</v>
      </c>
      <c r="AM106" s="17" t="s">
        <v>94</v>
      </c>
      <c r="AN106" s="17" t="s">
        <v>1418</v>
      </c>
      <c r="AO106" s="17" t="s">
        <v>98</v>
      </c>
      <c r="AP106" s="17" t="s">
        <v>98</v>
      </c>
      <c r="AQ106" s="17" t="s">
        <v>98</v>
      </c>
      <c r="AR106" s="17" t="s">
        <v>94</v>
      </c>
      <c r="AS106" s="17" t="s">
        <v>1419</v>
      </c>
      <c r="AT106" s="17">
        <v>83</v>
      </c>
      <c r="AU106" s="30" t="s">
        <v>1420</v>
      </c>
      <c r="AV106" s="14">
        <v>2012</v>
      </c>
      <c r="AW106" s="74"/>
      <c r="AX106" s="1"/>
      <c r="AY106" s="17" t="s">
        <v>101</v>
      </c>
    </row>
    <row r="107" spans="1:51" ht="15" customHeight="1" x14ac:dyDescent="0.25">
      <c r="A107" s="5">
        <v>106</v>
      </c>
      <c r="B107" s="9">
        <v>106</v>
      </c>
      <c r="C107" s="9" t="s">
        <v>1421</v>
      </c>
      <c r="D107" s="57" t="str">
        <f>HYPERLINK("http://prodenv.dep.state.fl.us/DepNexus/public/electronic-documents/OG_106/facility!search","OG_106_Docs")</f>
        <v>OG_106_Docs</v>
      </c>
      <c r="E107" s="57" t="str">
        <f>HYPERLINK("https://ca.dep.state.fl.us/mapdirect/?focus=oilandgas&amp;zoom=query&amp;querytype=oilandgas&amp;queryvalues=OG_106","OG_106_Map")</f>
        <v>OG_106_Map</v>
      </c>
      <c r="F107" s="1" t="s">
        <v>265</v>
      </c>
      <c r="G107" s="1" t="s">
        <v>266</v>
      </c>
      <c r="H107" s="1" t="s">
        <v>176</v>
      </c>
      <c r="I107" s="1" t="s">
        <v>1422</v>
      </c>
      <c r="J107" s="17" t="s">
        <v>268</v>
      </c>
      <c r="K107" s="17" t="s">
        <v>412</v>
      </c>
      <c r="L107" s="17"/>
      <c r="M107" s="17"/>
      <c r="N107" s="52" t="s">
        <v>193</v>
      </c>
      <c r="O107" s="17" t="s">
        <v>270</v>
      </c>
      <c r="P107" s="17" t="s">
        <v>86</v>
      </c>
      <c r="Q107" s="81" t="s">
        <v>1423</v>
      </c>
      <c r="R107" s="11">
        <v>26.304687999999999</v>
      </c>
      <c r="S107" s="11">
        <v>-81.369619</v>
      </c>
      <c r="T107" s="11" t="s">
        <v>1424</v>
      </c>
      <c r="U107" s="11" t="s">
        <v>1425</v>
      </c>
      <c r="V107" s="17" t="s">
        <v>1426</v>
      </c>
      <c r="W107" s="17" t="s">
        <v>110</v>
      </c>
      <c r="X107" s="70">
        <v>33.799999999999997</v>
      </c>
      <c r="Y107" s="70">
        <v>23.3</v>
      </c>
      <c r="Z107" s="13">
        <v>18056</v>
      </c>
      <c r="AA107" s="13">
        <v>18062</v>
      </c>
      <c r="AB107" s="13">
        <v>18121</v>
      </c>
      <c r="AC107" s="13">
        <v>31762</v>
      </c>
      <c r="AD107" s="86">
        <v>11579</v>
      </c>
      <c r="AE107" s="86">
        <v>11579</v>
      </c>
      <c r="AF107" s="70" t="s">
        <v>1427</v>
      </c>
      <c r="AG107" s="23" t="s">
        <v>1428</v>
      </c>
      <c r="AH107" s="23" t="s">
        <v>1429</v>
      </c>
      <c r="AI107" s="71" t="s">
        <v>1430</v>
      </c>
      <c r="AJ107" s="23" t="s">
        <v>1431</v>
      </c>
      <c r="AK107" s="17" t="s">
        <v>95</v>
      </c>
      <c r="AL107" s="17" t="s">
        <v>1432</v>
      </c>
      <c r="AM107" s="17" t="s">
        <v>94</v>
      </c>
      <c r="AN107" s="17" t="s">
        <v>1433</v>
      </c>
      <c r="AO107" s="17" t="s">
        <v>1434</v>
      </c>
      <c r="AP107" s="17" t="s">
        <v>94</v>
      </c>
      <c r="AQ107" s="17" t="s">
        <v>1435</v>
      </c>
      <c r="AR107" s="17" t="s">
        <v>1436</v>
      </c>
      <c r="AS107" s="17" t="s">
        <v>1437</v>
      </c>
      <c r="AT107" s="17"/>
      <c r="AU107" s="30" t="s">
        <v>1438</v>
      </c>
      <c r="AV107" s="14">
        <v>1977</v>
      </c>
      <c r="AW107" s="74"/>
      <c r="AX107" s="1"/>
      <c r="AY107" s="17" t="s">
        <v>101</v>
      </c>
    </row>
    <row r="108" spans="1:51" ht="12.75" customHeight="1" x14ac:dyDescent="0.25">
      <c r="A108" s="5">
        <v>107</v>
      </c>
      <c r="B108" s="9">
        <v>107</v>
      </c>
      <c r="C108" s="9" t="s">
        <v>1439</v>
      </c>
      <c r="D108" s="57" t="str">
        <f>HYPERLINK("http://prodenv.dep.state.fl.us/DepNexus/public/electronic-documents/OG_107/facility!search","OG_107_Docs")</f>
        <v>OG_107_Docs</v>
      </c>
      <c r="E108" s="57" t="str">
        <f>HYPERLINK("https://ca.dep.state.fl.us/mapdirect/?focus=oilandgas&amp;zoom=query&amp;querytype=oilandgas&amp;queryvalues=OG_107","OG_107_Map")</f>
        <v>OG_107_Map</v>
      </c>
      <c r="F108" s="1" t="s">
        <v>1041</v>
      </c>
      <c r="G108" s="1" t="s">
        <v>79</v>
      </c>
      <c r="H108" s="1" t="s">
        <v>128</v>
      </c>
      <c r="I108" s="1" t="s">
        <v>1440</v>
      </c>
      <c r="J108" s="17" t="s">
        <v>82</v>
      </c>
      <c r="K108" s="17" t="s">
        <v>83</v>
      </c>
      <c r="L108" s="17"/>
      <c r="M108" s="17" t="s">
        <v>101</v>
      </c>
      <c r="N108" s="52" t="s">
        <v>130</v>
      </c>
      <c r="O108" s="17" t="s">
        <v>86</v>
      </c>
      <c r="P108" s="17" t="s">
        <v>86</v>
      </c>
      <c r="Q108" s="81" t="s">
        <v>1441</v>
      </c>
      <c r="R108" s="11">
        <v>30.067057999999999</v>
      </c>
      <c r="S108" s="11">
        <v>-82.591569000000007</v>
      </c>
      <c r="T108" s="11" t="s">
        <v>1442</v>
      </c>
      <c r="U108" s="11" t="s">
        <v>1443</v>
      </c>
      <c r="V108" s="17" t="s">
        <v>1444</v>
      </c>
      <c r="W108" s="17" t="s">
        <v>110</v>
      </c>
      <c r="X108" s="70">
        <v>125</v>
      </c>
      <c r="Y108" s="70"/>
      <c r="Z108" s="13">
        <v>18056</v>
      </c>
      <c r="AA108" s="13">
        <v>18057</v>
      </c>
      <c r="AB108" s="13">
        <v>18083</v>
      </c>
      <c r="AC108" s="13">
        <v>18083</v>
      </c>
      <c r="AD108" s="86">
        <v>2928</v>
      </c>
      <c r="AE108" s="86">
        <v>2928</v>
      </c>
      <c r="AF108" s="70" t="s">
        <v>1445</v>
      </c>
      <c r="AG108" s="17" t="s">
        <v>1446</v>
      </c>
      <c r="AH108" s="17" t="s">
        <v>94</v>
      </c>
      <c r="AI108" s="70" t="s">
        <v>94</v>
      </c>
      <c r="AJ108" s="17" t="s">
        <v>94</v>
      </c>
      <c r="AK108" s="17" t="s">
        <v>95</v>
      </c>
      <c r="AL108" s="17" t="s">
        <v>1447</v>
      </c>
      <c r="AM108" s="17" t="s">
        <v>94</v>
      </c>
      <c r="AN108" s="17" t="s">
        <v>94</v>
      </c>
      <c r="AO108" s="17" t="s">
        <v>98</v>
      </c>
      <c r="AP108" s="17" t="s">
        <v>98</v>
      </c>
      <c r="AQ108" s="17" t="s">
        <v>98</v>
      </c>
      <c r="AR108" s="17" t="s">
        <v>94</v>
      </c>
      <c r="AS108" s="17" t="s">
        <v>1448</v>
      </c>
      <c r="AT108" s="17">
        <v>90</v>
      </c>
      <c r="AU108" s="30" t="s">
        <v>1449</v>
      </c>
      <c r="AV108" s="14">
        <v>1923</v>
      </c>
      <c r="AW108" s="74"/>
      <c r="AX108" s="1"/>
      <c r="AY108" s="17" t="s">
        <v>101</v>
      </c>
    </row>
    <row r="109" spans="1:51" ht="12.75" customHeight="1" x14ac:dyDescent="0.25">
      <c r="A109" s="5">
        <v>108</v>
      </c>
      <c r="B109" s="9">
        <v>108</v>
      </c>
      <c r="C109" s="9" t="s">
        <v>1450</v>
      </c>
      <c r="D109" s="57" t="str">
        <f>HYPERLINK("http://prodenv.dep.state.fl.us/DepNexus/public/electronic-documents/OG_108/facility!search","OG_108_Docs")</f>
        <v>OG_108_Docs</v>
      </c>
      <c r="E109" s="57" t="str">
        <f>HYPERLINK("https://ca.dep.state.fl.us/mapdirect/?focus=oilandgas&amp;zoom=query&amp;querytype=oilandgas&amp;queryvalues=OG_108","OG_108_Map")</f>
        <v>OG_108_Map</v>
      </c>
      <c r="F109" s="1" t="s">
        <v>290</v>
      </c>
      <c r="G109" s="1" t="s">
        <v>79</v>
      </c>
      <c r="H109" s="1" t="s">
        <v>909</v>
      </c>
      <c r="I109" s="1" t="s">
        <v>1451</v>
      </c>
      <c r="J109" s="17" t="s">
        <v>82</v>
      </c>
      <c r="K109" s="17" t="s">
        <v>83</v>
      </c>
      <c r="L109" s="17"/>
      <c r="M109" s="17" t="s">
        <v>101</v>
      </c>
      <c r="N109" s="52" t="s">
        <v>193</v>
      </c>
      <c r="O109" s="17" t="s">
        <v>292</v>
      </c>
      <c r="P109" s="17" t="s">
        <v>86</v>
      </c>
      <c r="Q109" s="81" t="s">
        <v>1452</v>
      </c>
      <c r="R109" s="11">
        <v>25.001448</v>
      </c>
      <c r="S109" s="11">
        <v>-80.537062000000006</v>
      </c>
      <c r="T109" s="11" t="s">
        <v>1453</v>
      </c>
      <c r="U109" s="11" t="s">
        <v>1454</v>
      </c>
      <c r="V109" s="17" t="s">
        <v>1455</v>
      </c>
      <c r="W109" s="17" t="s">
        <v>110</v>
      </c>
      <c r="X109" s="70">
        <v>16</v>
      </c>
      <c r="Y109" s="70">
        <v>3</v>
      </c>
      <c r="Z109" s="13">
        <v>18077</v>
      </c>
      <c r="AA109" s="13">
        <v>18091</v>
      </c>
      <c r="AB109" s="13">
        <v>18171</v>
      </c>
      <c r="AC109" s="13">
        <v>18171</v>
      </c>
      <c r="AD109" s="86">
        <v>7559</v>
      </c>
      <c r="AE109" s="86">
        <v>7559</v>
      </c>
      <c r="AF109" s="70" t="s">
        <v>1456</v>
      </c>
      <c r="AG109" s="17" t="s">
        <v>1457</v>
      </c>
      <c r="AH109" s="17" t="s">
        <v>94</v>
      </c>
      <c r="AI109" s="70" t="s">
        <v>94</v>
      </c>
      <c r="AJ109" s="17" t="s">
        <v>94</v>
      </c>
      <c r="AK109" s="17" t="s">
        <v>95</v>
      </c>
      <c r="AL109" s="17" t="s">
        <v>86</v>
      </c>
      <c r="AM109" s="17" t="s">
        <v>94</v>
      </c>
      <c r="AN109" s="17" t="s">
        <v>94</v>
      </c>
      <c r="AO109" s="17" t="s">
        <v>98</v>
      </c>
      <c r="AP109" s="17" t="s">
        <v>98</v>
      </c>
      <c r="AQ109" s="17" t="s">
        <v>98</v>
      </c>
      <c r="AR109" s="17" t="s">
        <v>94</v>
      </c>
      <c r="AS109" s="17" t="s">
        <v>1458</v>
      </c>
      <c r="AT109" s="17">
        <v>98</v>
      </c>
      <c r="AU109" s="30" t="s">
        <v>1459</v>
      </c>
      <c r="AV109" s="14">
        <v>1976</v>
      </c>
      <c r="AW109" s="74"/>
      <c r="AX109" s="1"/>
      <c r="AY109" s="17" t="s">
        <v>101</v>
      </c>
    </row>
    <row r="110" spans="1:51" ht="12.75" customHeight="1" x14ac:dyDescent="0.25">
      <c r="A110" s="5">
        <v>109</v>
      </c>
      <c r="B110" s="9">
        <v>109</v>
      </c>
      <c r="C110" s="9" t="s">
        <v>1460</v>
      </c>
      <c r="D110" s="57" t="str">
        <f>HYPERLINK("http://prodenv.dep.state.fl.us/DepNexus/public/electronic-documents/OG_109/facility!search","OG_109_Docs")</f>
        <v>OG_109_Docs</v>
      </c>
      <c r="E110" s="57" t="str">
        <f>HYPERLINK("https://ca.dep.state.fl.us/mapdirect/?focus=oilandgas&amp;zoom=query&amp;querytype=oilandgas&amp;queryvalues=OG_109","OG_109_Map")</f>
        <v>OG_109_Map</v>
      </c>
      <c r="F110" s="1" t="s">
        <v>634</v>
      </c>
      <c r="G110" s="1" t="s">
        <v>79</v>
      </c>
      <c r="H110" s="1" t="s">
        <v>128</v>
      </c>
      <c r="I110" s="1" t="s">
        <v>1461</v>
      </c>
      <c r="J110" s="17" t="s">
        <v>82</v>
      </c>
      <c r="K110" s="17" t="s">
        <v>83</v>
      </c>
      <c r="L110" s="17"/>
      <c r="M110" s="17"/>
      <c r="N110" s="52" t="s">
        <v>130</v>
      </c>
      <c r="O110" s="17" t="s">
        <v>86</v>
      </c>
      <c r="P110" s="17" t="s">
        <v>86</v>
      </c>
      <c r="Q110" s="81" t="s">
        <v>1462</v>
      </c>
      <c r="R110" s="11">
        <v>30.071549000000001</v>
      </c>
      <c r="S110" s="11">
        <v>-82.830278000000007</v>
      </c>
      <c r="T110" s="11" t="s">
        <v>1463</v>
      </c>
      <c r="U110" s="11" t="s">
        <v>1464</v>
      </c>
      <c r="V110" s="17" t="s">
        <v>1465</v>
      </c>
      <c r="W110" s="17" t="s">
        <v>110</v>
      </c>
      <c r="X110" s="70">
        <v>96</v>
      </c>
      <c r="Y110" s="70">
        <v>86</v>
      </c>
      <c r="Z110" s="13">
        <v>18091</v>
      </c>
      <c r="AA110" s="13">
        <v>18089</v>
      </c>
      <c r="AB110" s="13">
        <v>18111</v>
      </c>
      <c r="AC110" s="13">
        <v>18111</v>
      </c>
      <c r="AD110" s="86">
        <v>3139</v>
      </c>
      <c r="AE110" s="86">
        <v>3139</v>
      </c>
      <c r="AF110" s="70" t="s">
        <v>1466</v>
      </c>
      <c r="AG110" s="17" t="s">
        <v>1467</v>
      </c>
      <c r="AH110" s="17" t="s">
        <v>1468</v>
      </c>
      <c r="AI110" s="70" t="s">
        <v>1469</v>
      </c>
      <c r="AJ110" s="17" t="s">
        <v>94</v>
      </c>
      <c r="AK110" s="17" t="s">
        <v>95</v>
      </c>
      <c r="AL110" s="17" t="s">
        <v>1470</v>
      </c>
      <c r="AM110" s="17" t="s">
        <v>94</v>
      </c>
      <c r="AN110" s="17" t="s">
        <v>94</v>
      </c>
      <c r="AO110" s="17" t="s">
        <v>98</v>
      </c>
      <c r="AP110" s="17" t="s">
        <v>98</v>
      </c>
      <c r="AQ110" s="17" t="s">
        <v>98</v>
      </c>
      <c r="AR110" s="17" t="s">
        <v>94</v>
      </c>
      <c r="AS110" s="17" t="s">
        <v>1471</v>
      </c>
      <c r="AT110" s="17">
        <v>91</v>
      </c>
      <c r="AU110" s="30" t="s">
        <v>1472</v>
      </c>
      <c r="AV110" s="14">
        <v>1924</v>
      </c>
      <c r="AW110" s="74"/>
      <c r="AX110" s="1"/>
      <c r="AY110" s="17" t="s">
        <v>101</v>
      </c>
    </row>
    <row r="111" spans="1:51" ht="12.75" customHeight="1" x14ac:dyDescent="0.25">
      <c r="A111" s="5">
        <v>110</v>
      </c>
      <c r="B111" s="9">
        <v>110</v>
      </c>
      <c r="C111" s="9" t="s">
        <v>1473</v>
      </c>
      <c r="D111" s="57" t="str">
        <f>HYPERLINK("http://prodenv.dep.state.fl.us/DepNexus/public/electronic-documents/OG_110/facility!search","OG_110_Docs")</f>
        <v>OG_110_Docs</v>
      </c>
      <c r="E111" s="57" t="str">
        <f>HYPERLINK("https://ca.dep.state.fl.us/mapdirect/?focus=oilandgas&amp;zoom=query&amp;querytype=oilandgas&amp;queryvalues=OG_110","OG_110_Map")</f>
        <v>OG_110_Map</v>
      </c>
      <c r="F111" s="1" t="s">
        <v>241</v>
      </c>
      <c r="G111" s="1" t="s">
        <v>79</v>
      </c>
      <c r="H111" s="1" t="s">
        <v>1474</v>
      </c>
      <c r="I111" s="1" t="s">
        <v>1475</v>
      </c>
      <c r="J111" s="17" t="s">
        <v>1476</v>
      </c>
      <c r="K111" s="17" t="s">
        <v>83</v>
      </c>
      <c r="L111" s="17"/>
      <c r="M111" s="17"/>
      <c r="N111" s="52" t="s">
        <v>86</v>
      </c>
      <c r="O111" s="17" t="s">
        <v>86</v>
      </c>
      <c r="P111" s="17" t="s">
        <v>86</v>
      </c>
      <c r="Q111" s="81" t="s">
        <v>1477</v>
      </c>
      <c r="R111" s="11">
        <v>29.309677000000001</v>
      </c>
      <c r="S111" s="11">
        <v>-82.699219999999997</v>
      </c>
      <c r="T111" s="11" t="s">
        <v>1478</v>
      </c>
      <c r="U111" s="11" t="s">
        <v>1479</v>
      </c>
      <c r="V111" s="17" t="s">
        <v>1480</v>
      </c>
      <c r="W111" s="17" t="s">
        <v>110</v>
      </c>
      <c r="X111" s="70"/>
      <c r="Y111" s="70">
        <v>18</v>
      </c>
      <c r="Z111" s="13">
        <v>18106</v>
      </c>
      <c r="AA111" s="13">
        <v>18063</v>
      </c>
      <c r="AB111" s="13">
        <v>18435</v>
      </c>
      <c r="AC111" s="13">
        <v>45974</v>
      </c>
      <c r="AD111" s="86">
        <v>2013</v>
      </c>
      <c r="AE111" s="86">
        <v>2013</v>
      </c>
      <c r="AF111" s="70" t="s">
        <v>1481</v>
      </c>
      <c r="AG111" s="17" t="s">
        <v>1482</v>
      </c>
      <c r="AH111" s="17" t="s">
        <v>1483</v>
      </c>
      <c r="AI111" s="70" t="s">
        <v>94</v>
      </c>
      <c r="AJ111" s="17" t="s">
        <v>94</v>
      </c>
      <c r="AK111" s="17" t="s">
        <v>95</v>
      </c>
      <c r="AL111" s="17" t="s">
        <v>86</v>
      </c>
      <c r="AM111" s="17" t="s">
        <v>94</v>
      </c>
      <c r="AN111" s="17" t="s">
        <v>86</v>
      </c>
      <c r="AO111" s="17" t="s">
        <v>98</v>
      </c>
      <c r="AP111" s="17" t="s">
        <v>98</v>
      </c>
      <c r="AQ111" s="17" t="s">
        <v>98</v>
      </c>
      <c r="AR111" s="17" t="s">
        <v>94</v>
      </c>
      <c r="AS111" s="17" t="s">
        <v>1484</v>
      </c>
      <c r="AT111" s="17"/>
      <c r="AU111" s="30" t="s">
        <v>1485</v>
      </c>
      <c r="AV111" s="14">
        <v>2166</v>
      </c>
      <c r="AW111" s="74"/>
      <c r="AX111" s="1" t="s">
        <v>1486</v>
      </c>
      <c r="AY111" s="17" t="s">
        <v>101</v>
      </c>
    </row>
    <row r="112" spans="1:51" ht="12.75" customHeight="1" x14ac:dyDescent="0.25">
      <c r="A112" s="5">
        <v>111</v>
      </c>
      <c r="B112" s="9">
        <v>111</v>
      </c>
      <c r="C112" s="9" t="s">
        <v>1487</v>
      </c>
      <c r="D112" s="57" t="str">
        <f>HYPERLINK("http://prodenv.dep.state.fl.us/DepNexus/public/electronic-documents/OG_111/facility!search","OG_111_Docs")</f>
        <v>OG_111_Docs</v>
      </c>
      <c r="E112" s="57" t="str">
        <f>HYPERLINK("https://ca.dep.state.fl.us/mapdirect/?focus=oilandgas&amp;zoom=query&amp;querytype=oilandgas&amp;queryvalues=OG_111","OG_111_Map")</f>
        <v>OG_111_Map</v>
      </c>
      <c r="F112" s="1" t="s">
        <v>1041</v>
      </c>
      <c r="G112" s="1" t="s">
        <v>79</v>
      </c>
      <c r="H112" s="1" t="s">
        <v>128</v>
      </c>
      <c r="I112" s="1" t="s">
        <v>1488</v>
      </c>
      <c r="J112" s="17" t="s">
        <v>82</v>
      </c>
      <c r="K112" s="17" t="s">
        <v>83</v>
      </c>
      <c r="L112" s="17"/>
      <c r="M112" s="17"/>
      <c r="N112" s="52" t="s">
        <v>193</v>
      </c>
      <c r="O112" s="17" t="s">
        <v>86</v>
      </c>
      <c r="P112" s="17" t="s">
        <v>86</v>
      </c>
      <c r="Q112" s="81" t="s">
        <v>1489</v>
      </c>
      <c r="R112" s="11">
        <v>30.158792999999999</v>
      </c>
      <c r="S112" s="11">
        <v>-82.595157</v>
      </c>
      <c r="T112" s="11" t="s">
        <v>1490</v>
      </c>
      <c r="U112" s="11" t="s">
        <v>1491</v>
      </c>
      <c r="V112" s="17" t="s">
        <v>1492</v>
      </c>
      <c r="W112" s="17" t="s">
        <v>110</v>
      </c>
      <c r="X112" s="70">
        <v>174.3</v>
      </c>
      <c r="Y112" s="70"/>
      <c r="Z112" s="13">
        <v>18112</v>
      </c>
      <c r="AA112" s="13">
        <v>18116</v>
      </c>
      <c r="AB112" s="13">
        <v>18134</v>
      </c>
      <c r="AC112" s="13">
        <v>18134</v>
      </c>
      <c r="AD112" s="86">
        <v>2828</v>
      </c>
      <c r="AE112" s="86">
        <v>2828</v>
      </c>
      <c r="AF112" s="70" t="s">
        <v>1493</v>
      </c>
      <c r="AG112" s="17" t="s">
        <v>1494</v>
      </c>
      <c r="AH112" s="17" t="s">
        <v>1495</v>
      </c>
      <c r="AI112" s="70" t="s">
        <v>1496</v>
      </c>
      <c r="AJ112" s="17" t="s">
        <v>94</v>
      </c>
      <c r="AK112" s="17" t="s">
        <v>95</v>
      </c>
      <c r="AL112" s="17" t="s">
        <v>1497</v>
      </c>
      <c r="AM112" s="17" t="s">
        <v>94</v>
      </c>
      <c r="AN112" s="17" t="s">
        <v>94</v>
      </c>
      <c r="AO112" s="17" t="s">
        <v>98</v>
      </c>
      <c r="AP112" s="17" t="s">
        <v>98</v>
      </c>
      <c r="AQ112" s="17" t="s">
        <v>98</v>
      </c>
      <c r="AR112" s="17" t="s">
        <v>94</v>
      </c>
      <c r="AS112" s="23" t="s">
        <v>1498</v>
      </c>
      <c r="AT112" s="17">
        <v>77</v>
      </c>
      <c r="AU112" s="30" t="s">
        <v>1499</v>
      </c>
      <c r="AV112" s="14">
        <v>1981</v>
      </c>
      <c r="AW112" s="74"/>
      <c r="AX112" s="24" t="s">
        <v>1500</v>
      </c>
      <c r="AY112" s="17" t="s">
        <v>101</v>
      </c>
    </row>
    <row r="113" spans="1:51" ht="12.75" customHeight="1" x14ac:dyDescent="0.25">
      <c r="A113" s="5">
        <v>112</v>
      </c>
      <c r="B113" s="9">
        <v>112</v>
      </c>
      <c r="C113" s="9" t="s">
        <v>1501</v>
      </c>
      <c r="D113" s="57" t="str">
        <f>HYPERLINK("http://prodenv.dep.state.fl.us/DepNexus/public/electronic-documents/OG_112/facility!search","OG_112_Docs")</f>
        <v>OG_112_Docs</v>
      </c>
      <c r="E113" s="57" t="str">
        <f>HYPERLINK("https://ca.dep.state.fl.us/mapdirect/?focus=oilandgas&amp;zoom=query&amp;querytype=oilandgas&amp;queryvalues=OG_112","OG_112_Map")</f>
        <v>OG_112_Map</v>
      </c>
      <c r="F113" s="1" t="s">
        <v>265</v>
      </c>
      <c r="G113" s="1" t="s">
        <v>266</v>
      </c>
      <c r="H113" s="1" t="s">
        <v>176</v>
      </c>
      <c r="I113" s="1" t="s">
        <v>1502</v>
      </c>
      <c r="J113" s="17" t="s">
        <v>82</v>
      </c>
      <c r="K113" s="17" t="s">
        <v>83</v>
      </c>
      <c r="L113" s="17"/>
      <c r="M113" s="17"/>
      <c r="N113" s="52" t="s">
        <v>193</v>
      </c>
      <c r="O113" s="17" t="s">
        <v>270</v>
      </c>
      <c r="P113" s="17" t="s">
        <v>86</v>
      </c>
      <c r="Q113" s="81" t="s">
        <v>1503</v>
      </c>
      <c r="R113" s="11">
        <v>26.315474999999999</v>
      </c>
      <c r="S113" s="11">
        <v>-81.377686999999995</v>
      </c>
      <c r="T113" s="11" t="s">
        <v>1504</v>
      </c>
      <c r="U113" s="11" t="s">
        <v>1505</v>
      </c>
      <c r="V113" s="17" t="s">
        <v>1195</v>
      </c>
      <c r="W113" s="17" t="s">
        <v>110</v>
      </c>
      <c r="X113" s="70">
        <v>34</v>
      </c>
      <c r="Y113" s="70">
        <v>21.2</v>
      </c>
      <c r="Z113" s="13">
        <v>18126</v>
      </c>
      <c r="AA113" s="13">
        <v>18134</v>
      </c>
      <c r="AB113" s="13">
        <v>18198</v>
      </c>
      <c r="AC113" s="13">
        <v>18197</v>
      </c>
      <c r="AD113" s="86">
        <v>11797</v>
      </c>
      <c r="AE113" s="86">
        <v>11797</v>
      </c>
      <c r="AF113" s="71" t="s">
        <v>1506</v>
      </c>
      <c r="AG113" s="23" t="s">
        <v>1507</v>
      </c>
      <c r="AH113" s="23" t="s">
        <v>1508</v>
      </c>
      <c r="AI113" s="70" t="s">
        <v>94</v>
      </c>
      <c r="AJ113" s="17" t="s">
        <v>94</v>
      </c>
      <c r="AK113" s="17" t="s">
        <v>95</v>
      </c>
      <c r="AL113" s="23" t="s">
        <v>1509</v>
      </c>
      <c r="AM113" s="17" t="s">
        <v>94</v>
      </c>
      <c r="AN113" s="17" t="s">
        <v>94</v>
      </c>
      <c r="AO113" s="17" t="s">
        <v>98</v>
      </c>
      <c r="AP113" s="17" t="s">
        <v>98</v>
      </c>
      <c r="AQ113" s="17" t="s">
        <v>98</v>
      </c>
      <c r="AR113" s="17" t="s">
        <v>94</v>
      </c>
      <c r="AS113" s="23" t="s">
        <v>1510</v>
      </c>
      <c r="AT113" s="17">
        <v>187</v>
      </c>
      <c r="AU113" s="30" t="s">
        <v>1511</v>
      </c>
      <c r="AV113" s="14">
        <v>2006</v>
      </c>
      <c r="AW113" s="74"/>
      <c r="AX113" s="1"/>
      <c r="AY113" s="17" t="s">
        <v>101</v>
      </c>
    </row>
    <row r="114" spans="1:51" ht="12.75" customHeight="1" x14ac:dyDescent="0.25">
      <c r="A114" s="5">
        <v>113</v>
      </c>
      <c r="B114" s="9">
        <v>113</v>
      </c>
      <c r="C114" s="9" t="s">
        <v>1512</v>
      </c>
      <c r="D114" s="57" t="str">
        <f>HYPERLINK("http://prodenv.dep.state.fl.us/DepNexus/public/electronic-documents/OG_113/facility!search","OG_113_Docs")</f>
        <v>OG_113_Docs</v>
      </c>
      <c r="E114" s="57" t="str">
        <f>HYPERLINK("https://ca.dep.state.fl.us/mapdirect/?focus=oilandgas&amp;zoom=query&amp;querytype=oilandgas&amp;queryvalues=OG_113","OG_113_Map")</f>
        <v>OG_113_Map</v>
      </c>
      <c r="F114" s="1" t="s">
        <v>241</v>
      </c>
      <c r="G114" s="1" t="s">
        <v>79</v>
      </c>
      <c r="H114" s="1" t="s">
        <v>1513</v>
      </c>
      <c r="I114" s="1" t="s">
        <v>1514</v>
      </c>
      <c r="J114" s="17" t="s">
        <v>207</v>
      </c>
      <c r="K114" s="17" t="s">
        <v>208</v>
      </c>
      <c r="L114" s="17"/>
      <c r="M114" s="17" t="s">
        <v>207</v>
      </c>
      <c r="N114" s="52" t="s">
        <v>86</v>
      </c>
      <c r="O114" s="17" t="s">
        <v>86</v>
      </c>
      <c r="P114" s="17" t="s">
        <v>86</v>
      </c>
      <c r="Q114" s="81" t="s">
        <v>1515</v>
      </c>
      <c r="R114" s="11">
        <v>29.42652</v>
      </c>
      <c r="S114" s="11">
        <v>-82.627972999999997</v>
      </c>
      <c r="T114" s="11" t="s">
        <v>1516</v>
      </c>
      <c r="U114" s="11" t="s">
        <v>1517</v>
      </c>
      <c r="V114" s="17" t="s">
        <v>1518</v>
      </c>
      <c r="W114" s="17" t="s">
        <v>110</v>
      </c>
      <c r="X114" s="71"/>
      <c r="Y114" s="71"/>
      <c r="Z114" s="13">
        <v>18126</v>
      </c>
      <c r="AA114" s="26"/>
      <c r="AB114" s="26"/>
      <c r="AC114" s="26"/>
      <c r="AD114" s="86"/>
      <c r="AE114" s="71"/>
      <c r="AF114" s="71" t="s">
        <v>207</v>
      </c>
      <c r="AG114" s="27" t="s">
        <v>207</v>
      </c>
      <c r="AH114" s="27" t="s">
        <v>207</v>
      </c>
      <c r="AI114" s="71" t="s">
        <v>207</v>
      </c>
      <c r="AJ114" s="27" t="s">
        <v>207</v>
      </c>
      <c r="AK114" s="27" t="s">
        <v>207</v>
      </c>
      <c r="AL114" s="27" t="s">
        <v>207</v>
      </c>
      <c r="AM114" s="27" t="s">
        <v>207</v>
      </c>
      <c r="AN114" s="27" t="s">
        <v>207</v>
      </c>
      <c r="AO114" s="27" t="s">
        <v>207</v>
      </c>
      <c r="AP114" s="27" t="s">
        <v>207</v>
      </c>
      <c r="AQ114" s="27" t="s">
        <v>207</v>
      </c>
      <c r="AR114" s="27" t="s">
        <v>207</v>
      </c>
      <c r="AS114" s="27" t="s">
        <v>207</v>
      </c>
      <c r="AT114" s="27" t="s">
        <v>207</v>
      </c>
      <c r="AU114" s="30" t="s">
        <v>1519</v>
      </c>
      <c r="AV114" s="27" t="s">
        <v>207</v>
      </c>
      <c r="AW114" s="74"/>
      <c r="AX114" s="1"/>
      <c r="AY114" s="17" t="s">
        <v>101</v>
      </c>
    </row>
    <row r="115" spans="1:51" ht="12.75" customHeight="1" x14ac:dyDescent="0.25">
      <c r="A115" s="5">
        <v>114</v>
      </c>
      <c r="B115" s="9">
        <v>114</v>
      </c>
      <c r="C115" s="9" t="s">
        <v>1520</v>
      </c>
      <c r="D115" s="57" t="str">
        <f>HYPERLINK("http://prodenv.dep.state.fl.us/DepNexus/public/electronic-documents/OG_114/facility!search","OG_114_Docs")</f>
        <v>OG_114_Docs</v>
      </c>
      <c r="E115" s="57" t="str">
        <f>HYPERLINK("https://ca.dep.state.fl.us/mapdirect/?focus=oilandgas&amp;zoom=query&amp;querytype=oilandgas&amp;queryvalues=OG_114","OG_114_Map")</f>
        <v>OG_114_Map</v>
      </c>
      <c r="F115" s="1" t="s">
        <v>127</v>
      </c>
      <c r="G115" s="1" t="s">
        <v>79</v>
      </c>
      <c r="H115" s="1" t="s">
        <v>229</v>
      </c>
      <c r="I115" s="1" t="s">
        <v>1521</v>
      </c>
      <c r="J115" s="17" t="s">
        <v>82</v>
      </c>
      <c r="K115" s="17" t="s">
        <v>83</v>
      </c>
      <c r="L115" s="17"/>
      <c r="M115" s="17"/>
      <c r="N115" s="52" t="s">
        <v>86</v>
      </c>
      <c r="O115" s="17" t="s">
        <v>86</v>
      </c>
      <c r="P115" s="17" t="s">
        <v>86</v>
      </c>
      <c r="Q115" s="81" t="s">
        <v>1522</v>
      </c>
      <c r="R115" s="11">
        <v>30.010466000000001</v>
      </c>
      <c r="S115" s="11">
        <v>-83.279320999999996</v>
      </c>
      <c r="T115" s="11" t="s">
        <v>1523</v>
      </c>
      <c r="U115" s="11" t="s">
        <v>1524</v>
      </c>
      <c r="V115" s="17" t="s">
        <v>1525</v>
      </c>
      <c r="W115" s="17" t="s">
        <v>110</v>
      </c>
      <c r="X115" s="70">
        <v>87</v>
      </c>
      <c r="Y115" s="70">
        <v>76</v>
      </c>
      <c r="Z115" s="13">
        <v>18133</v>
      </c>
      <c r="AA115" s="13">
        <v>18140</v>
      </c>
      <c r="AB115" s="13">
        <v>18176</v>
      </c>
      <c r="AC115" s="13">
        <v>18176</v>
      </c>
      <c r="AD115" s="86">
        <v>4512</v>
      </c>
      <c r="AE115" s="86">
        <v>4512</v>
      </c>
      <c r="AF115" s="70" t="s">
        <v>1526</v>
      </c>
      <c r="AG115" s="17" t="s">
        <v>1527</v>
      </c>
      <c r="AH115" s="17" t="s">
        <v>1528</v>
      </c>
      <c r="AI115" s="70" t="s">
        <v>94</v>
      </c>
      <c r="AJ115" s="17" t="s">
        <v>94</v>
      </c>
      <c r="AK115" s="17" t="s">
        <v>95</v>
      </c>
      <c r="AL115" s="17" t="s">
        <v>1529</v>
      </c>
      <c r="AM115" s="17" t="s">
        <v>94</v>
      </c>
      <c r="AN115" s="17" t="s">
        <v>94</v>
      </c>
      <c r="AO115" s="17" t="s">
        <v>98</v>
      </c>
      <c r="AP115" s="17" t="s">
        <v>98</v>
      </c>
      <c r="AQ115" s="17" t="s">
        <v>98</v>
      </c>
      <c r="AR115" s="17" t="s">
        <v>94</v>
      </c>
      <c r="AS115" s="23" t="s">
        <v>1530</v>
      </c>
      <c r="AT115" s="17">
        <v>124</v>
      </c>
      <c r="AU115" s="30" t="s">
        <v>1531</v>
      </c>
      <c r="AV115" s="14">
        <v>2000</v>
      </c>
      <c r="AW115" s="74"/>
      <c r="AX115" s="1"/>
      <c r="AY115" s="17" t="s">
        <v>101</v>
      </c>
    </row>
    <row r="116" spans="1:51" ht="12.75" customHeight="1" x14ac:dyDescent="0.25">
      <c r="A116" s="5">
        <v>115</v>
      </c>
      <c r="B116" s="9">
        <v>115</v>
      </c>
      <c r="C116" s="9" t="s">
        <v>1532</v>
      </c>
      <c r="D116" s="57" t="str">
        <f>HYPERLINK("http://prodenv.dep.state.fl.us/DepNexus/public/electronic-documents/OG_115/facility!search","OG_115_Docs")</f>
        <v>OG_115_Docs</v>
      </c>
      <c r="E116" s="57" t="str">
        <f>HYPERLINK("https://ca.dep.state.fl.us/mapdirect/?focus=oilandgas&amp;zoom=query&amp;querytype=oilandgas&amp;queryvalues=OG_115","OG_115_Map")</f>
        <v>OG_115_Map</v>
      </c>
      <c r="F116" s="1" t="s">
        <v>204</v>
      </c>
      <c r="G116" s="1" t="s">
        <v>79</v>
      </c>
      <c r="H116" s="1" t="s">
        <v>909</v>
      </c>
      <c r="I116" s="1" t="s">
        <v>1533</v>
      </c>
      <c r="J116" s="17" t="s">
        <v>82</v>
      </c>
      <c r="K116" s="17" t="s">
        <v>83</v>
      </c>
      <c r="L116" s="17" t="s">
        <v>101</v>
      </c>
      <c r="M116" s="17" t="s">
        <v>101</v>
      </c>
      <c r="N116" s="52" t="s">
        <v>193</v>
      </c>
      <c r="O116" s="17" t="s">
        <v>86</v>
      </c>
      <c r="P116" s="17" t="s">
        <v>86</v>
      </c>
      <c r="Q116" s="81" t="s">
        <v>1534</v>
      </c>
      <c r="R116" s="11">
        <v>25.615352999999999</v>
      </c>
      <c r="S116" s="11">
        <v>-80.582830999999999</v>
      </c>
      <c r="T116" s="11" t="s">
        <v>1535</v>
      </c>
      <c r="U116" s="11" t="s">
        <v>1536</v>
      </c>
      <c r="V116" s="17" t="s">
        <v>1537</v>
      </c>
      <c r="W116" s="17" t="s">
        <v>110</v>
      </c>
      <c r="X116" s="70">
        <v>33</v>
      </c>
      <c r="Y116" s="71">
        <v>9</v>
      </c>
      <c r="Z116" s="13">
        <v>18168</v>
      </c>
      <c r="AA116" s="13">
        <v>18173</v>
      </c>
      <c r="AB116" s="13">
        <v>18252</v>
      </c>
      <c r="AC116" s="13">
        <v>18252</v>
      </c>
      <c r="AD116" s="86">
        <v>11520</v>
      </c>
      <c r="AE116" s="86">
        <v>11520</v>
      </c>
      <c r="AF116" s="70" t="s">
        <v>1538</v>
      </c>
      <c r="AG116" s="23" t="s">
        <v>1539</v>
      </c>
      <c r="AH116" s="23" t="s">
        <v>1540</v>
      </c>
      <c r="AI116" s="70" t="s">
        <v>94</v>
      </c>
      <c r="AJ116" s="17" t="s">
        <v>94</v>
      </c>
      <c r="AK116" s="17" t="s">
        <v>95</v>
      </c>
      <c r="AL116" s="17" t="s">
        <v>1541</v>
      </c>
      <c r="AM116" s="17" t="s">
        <v>94</v>
      </c>
      <c r="AN116" s="17" t="s">
        <v>1542</v>
      </c>
      <c r="AO116" s="17" t="s">
        <v>98</v>
      </c>
      <c r="AP116" s="17" t="s">
        <v>98</v>
      </c>
      <c r="AQ116" s="17" t="s">
        <v>98</v>
      </c>
      <c r="AR116" s="17" t="s">
        <v>94</v>
      </c>
      <c r="AS116" s="23" t="s">
        <v>1543</v>
      </c>
      <c r="AT116" s="17">
        <v>152</v>
      </c>
      <c r="AU116" s="30" t="s">
        <v>1544</v>
      </c>
      <c r="AV116" s="14">
        <v>2038</v>
      </c>
      <c r="AW116" s="74"/>
      <c r="AX116" s="1"/>
      <c r="AY116" s="17" t="s">
        <v>101</v>
      </c>
    </row>
    <row r="117" spans="1:51" ht="12.75" customHeight="1" x14ac:dyDescent="0.25">
      <c r="A117" s="5">
        <v>116</v>
      </c>
      <c r="B117" s="9">
        <v>116</v>
      </c>
      <c r="C117" s="9" t="s">
        <v>1545</v>
      </c>
      <c r="D117" s="57" t="str">
        <f>HYPERLINK("http://prodenv.dep.state.fl.us/DepNexus/public/electronic-documents/OG_116/facility!search","OG_116_Docs")</f>
        <v>OG_116_Docs</v>
      </c>
      <c r="E117" s="57" t="str">
        <f>HYPERLINK("https://ca.dep.state.fl.us/mapdirect/?focus=oilandgas&amp;zoom=query&amp;querytype=oilandgas&amp;queryvalues=OG_116","OG_116_Map")</f>
        <v>OG_116_Map</v>
      </c>
      <c r="F117" s="1" t="s">
        <v>1151</v>
      </c>
      <c r="G117" s="1" t="s">
        <v>79</v>
      </c>
      <c r="H117" s="1" t="s">
        <v>229</v>
      </c>
      <c r="I117" s="1" t="s">
        <v>1546</v>
      </c>
      <c r="J117" s="17" t="s">
        <v>82</v>
      </c>
      <c r="K117" s="17" t="s">
        <v>83</v>
      </c>
      <c r="L117" s="17"/>
      <c r="M117" s="17" t="s">
        <v>84</v>
      </c>
      <c r="N117" s="52" t="s">
        <v>86</v>
      </c>
      <c r="O117" s="17" t="s">
        <v>86</v>
      </c>
      <c r="P117" s="17" t="s">
        <v>86</v>
      </c>
      <c r="Q117" s="81" t="s">
        <v>1547</v>
      </c>
      <c r="R117" s="11">
        <v>29.795650999999999</v>
      </c>
      <c r="S117" s="11">
        <v>-83.426783</v>
      </c>
      <c r="T117" s="11" t="s">
        <v>1548</v>
      </c>
      <c r="U117" s="11" t="s">
        <v>1549</v>
      </c>
      <c r="V117" s="17" t="s">
        <v>1550</v>
      </c>
      <c r="W117" s="17" t="s">
        <v>110</v>
      </c>
      <c r="X117" s="70">
        <v>41</v>
      </c>
      <c r="Y117" s="70">
        <v>30</v>
      </c>
      <c r="Z117" s="13">
        <v>18168</v>
      </c>
      <c r="AA117" s="13">
        <v>18183</v>
      </c>
      <c r="AB117" s="13">
        <v>18233</v>
      </c>
      <c r="AC117" s="13">
        <v>18234</v>
      </c>
      <c r="AD117" s="86">
        <v>5517</v>
      </c>
      <c r="AE117" s="86">
        <v>5517</v>
      </c>
      <c r="AF117" s="70" t="s">
        <v>1551</v>
      </c>
      <c r="AG117" s="17" t="s">
        <v>1552</v>
      </c>
      <c r="AH117" s="17" t="s">
        <v>1553</v>
      </c>
      <c r="AI117" s="70" t="s">
        <v>94</v>
      </c>
      <c r="AJ117" s="17" t="s">
        <v>94</v>
      </c>
      <c r="AK117" s="17" t="s">
        <v>95</v>
      </c>
      <c r="AL117" s="23" t="s">
        <v>1554</v>
      </c>
      <c r="AM117" s="17" t="s">
        <v>94</v>
      </c>
      <c r="AN117" s="17" t="s">
        <v>94</v>
      </c>
      <c r="AO117" s="17" t="s">
        <v>98</v>
      </c>
      <c r="AP117" s="17" t="s">
        <v>98</v>
      </c>
      <c r="AQ117" s="17" t="s">
        <v>98</v>
      </c>
      <c r="AR117" s="17" t="s">
        <v>94</v>
      </c>
      <c r="AS117" s="17" t="s">
        <v>1555</v>
      </c>
      <c r="AT117" s="17"/>
      <c r="AU117" s="30" t="s">
        <v>1556</v>
      </c>
      <c r="AV117" s="14">
        <v>2099</v>
      </c>
      <c r="AW117" s="74"/>
      <c r="AX117" s="1"/>
      <c r="AY117" s="17" t="s">
        <v>101</v>
      </c>
    </row>
    <row r="118" spans="1:51" ht="12.75" customHeight="1" x14ac:dyDescent="0.25">
      <c r="A118" s="5">
        <v>117</v>
      </c>
      <c r="B118" s="9">
        <v>117</v>
      </c>
      <c r="C118" s="9" t="s">
        <v>1557</v>
      </c>
      <c r="D118" s="57" t="str">
        <f>HYPERLINK("http://prodenv.dep.state.fl.us/DepNexus/public/electronic-documents/OG_117/facility!search","OG_117_Docs")</f>
        <v>OG_117_Docs</v>
      </c>
      <c r="E118" s="57" t="str">
        <f>HYPERLINK("https://ca.dep.state.fl.us/mapdirect/?focus=oilandgas&amp;zoom=query&amp;querytype=oilandgas&amp;queryvalues=OG_117","OG_117_Map")</f>
        <v>OG_117_Map</v>
      </c>
      <c r="F118" s="1" t="s">
        <v>290</v>
      </c>
      <c r="G118" s="1" t="s">
        <v>79</v>
      </c>
      <c r="H118" s="1" t="s">
        <v>909</v>
      </c>
      <c r="I118" s="1" t="s">
        <v>1558</v>
      </c>
      <c r="J118" s="17" t="s">
        <v>82</v>
      </c>
      <c r="K118" s="17" t="s">
        <v>83</v>
      </c>
      <c r="L118" s="17"/>
      <c r="M118" s="17" t="s">
        <v>101</v>
      </c>
      <c r="N118" s="52" t="s">
        <v>86</v>
      </c>
      <c r="O118" s="17" t="s">
        <v>292</v>
      </c>
      <c r="P118" s="17" t="s">
        <v>86</v>
      </c>
      <c r="Q118" s="81" t="s">
        <v>1559</v>
      </c>
      <c r="R118" s="11">
        <v>25.278773000000001</v>
      </c>
      <c r="S118" s="11">
        <v>-80.298748000000003</v>
      </c>
      <c r="T118" s="11" t="s">
        <v>1560</v>
      </c>
      <c r="U118" s="11" t="s">
        <v>1561</v>
      </c>
      <c r="V118" s="17" t="s">
        <v>1562</v>
      </c>
      <c r="W118" s="17" t="s">
        <v>110</v>
      </c>
      <c r="X118" s="70">
        <v>25</v>
      </c>
      <c r="Y118" s="70">
        <v>12</v>
      </c>
      <c r="Z118" s="13">
        <v>18196</v>
      </c>
      <c r="AA118" s="13">
        <v>18203</v>
      </c>
      <c r="AB118" s="13">
        <v>18299</v>
      </c>
      <c r="AC118" s="13">
        <v>18299</v>
      </c>
      <c r="AD118" s="86">
        <v>6702</v>
      </c>
      <c r="AE118" s="86">
        <v>6702</v>
      </c>
      <c r="AF118" s="70" t="s">
        <v>1563</v>
      </c>
      <c r="AG118" s="17" t="s">
        <v>1564</v>
      </c>
      <c r="AH118" s="17" t="s">
        <v>94</v>
      </c>
      <c r="AI118" s="70" t="s">
        <v>94</v>
      </c>
      <c r="AJ118" s="17" t="s">
        <v>94</v>
      </c>
      <c r="AK118" s="17" t="s">
        <v>95</v>
      </c>
      <c r="AL118" s="17" t="s">
        <v>86</v>
      </c>
      <c r="AM118" s="17" t="s">
        <v>94</v>
      </c>
      <c r="AN118" s="17" t="s">
        <v>94</v>
      </c>
      <c r="AO118" s="17" t="s">
        <v>98</v>
      </c>
      <c r="AP118" s="17" t="s">
        <v>98</v>
      </c>
      <c r="AQ118" s="17" t="s">
        <v>98</v>
      </c>
      <c r="AR118" s="17" t="s">
        <v>94</v>
      </c>
      <c r="AS118" s="17" t="s">
        <v>1565</v>
      </c>
      <c r="AT118" s="17"/>
      <c r="AU118" s="30" t="s">
        <v>1566</v>
      </c>
      <c r="AV118" s="14">
        <v>2130</v>
      </c>
      <c r="AW118" s="74"/>
      <c r="AX118" s="1"/>
      <c r="AY118" s="17" t="s">
        <v>101</v>
      </c>
    </row>
    <row r="119" spans="1:51" ht="15" customHeight="1" x14ac:dyDescent="0.25">
      <c r="A119" s="5">
        <v>118</v>
      </c>
      <c r="B119" s="9">
        <v>118</v>
      </c>
      <c r="C119" s="9" t="s">
        <v>1567</v>
      </c>
      <c r="D119" s="57" t="str">
        <f>HYPERLINK("http://prodenv.dep.state.fl.us/DepNexus/public/electronic-documents/OG_118/facility!search","OG_118_Docs")</f>
        <v>OG_118_Docs</v>
      </c>
      <c r="E119" s="57" t="str">
        <f>HYPERLINK("https://ca.dep.state.fl.us/mapdirect/?focus=oilandgas&amp;zoom=query&amp;querytype=oilandgas&amp;queryvalues=OG_118","OG_118_Map")</f>
        <v>OG_118_Map</v>
      </c>
      <c r="F119" s="1" t="s">
        <v>265</v>
      </c>
      <c r="G119" s="1" t="s">
        <v>266</v>
      </c>
      <c r="H119" s="1" t="s">
        <v>176</v>
      </c>
      <c r="I119" s="1" t="s">
        <v>1568</v>
      </c>
      <c r="J119" s="17" t="s">
        <v>268</v>
      </c>
      <c r="K119" s="17" t="s">
        <v>412</v>
      </c>
      <c r="L119" s="17"/>
      <c r="M119" s="17"/>
      <c r="N119" s="52" t="s">
        <v>193</v>
      </c>
      <c r="O119" s="17" t="s">
        <v>270</v>
      </c>
      <c r="P119" s="17" t="s">
        <v>86</v>
      </c>
      <c r="Q119" s="81" t="s">
        <v>1569</v>
      </c>
      <c r="R119" s="11">
        <v>26.297236999999999</v>
      </c>
      <c r="S119" s="11">
        <v>-81.377461999999994</v>
      </c>
      <c r="T119" s="11" t="s">
        <v>1570</v>
      </c>
      <c r="U119" s="11" t="s">
        <v>1571</v>
      </c>
      <c r="V119" s="17" t="s">
        <v>1572</v>
      </c>
      <c r="W119" s="17" t="s">
        <v>110</v>
      </c>
      <c r="X119" s="71"/>
      <c r="Y119" s="70">
        <v>21.58</v>
      </c>
      <c r="Z119" s="13">
        <v>18203</v>
      </c>
      <c r="AA119" s="13">
        <v>18205</v>
      </c>
      <c r="AB119" s="13">
        <v>18265</v>
      </c>
      <c r="AC119" s="13">
        <v>31762</v>
      </c>
      <c r="AD119" s="86">
        <v>11576</v>
      </c>
      <c r="AE119" s="86">
        <v>11576</v>
      </c>
      <c r="AF119" s="71" t="s">
        <v>1573</v>
      </c>
      <c r="AG119" s="23" t="s">
        <v>1574</v>
      </c>
      <c r="AH119" s="23" t="s">
        <v>1575</v>
      </c>
      <c r="AI119" s="71" t="s">
        <v>1576</v>
      </c>
      <c r="AJ119" s="23" t="s">
        <v>1577</v>
      </c>
      <c r="AK119" s="17" t="s">
        <v>95</v>
      </c>
      <c r="AL119" s="23" t="s">
        <v>1578</v>
      </c>
      <c r="AM119" s="23" t="s">
        <v>94</v>
      </c>
      <c r="AN119" s="23" t="s">
        <v>1579</v>
      </c>
      <c r="AO119" s="23" t="s">
        <v>1580</v>
      </c>
      <c r="AP119" s="23" t="s">
        <v>1581</v>
      </c>
      <c r="AQ119" s="17" t="s">
        <v>1380</v>
      </c>
      <c r="AR119" s="23" t="s">
        <v>1582</v>
      </c>
      <c r="AS119" s="23" t="s">
        <v>1583</v>
      </c>
      <c r="AT119" s="17"/>
      <c r="AU119" s="30" t="s">
        <v>1584</v>
      </c>
      <c r="AV119" s="14">
        <v>2104</v>
      </c>
      <c r="AW119" s="74"/>
      <c r="AX119" s="1"/>
      <c r="AY119" s="17" t="s">
        <v>101</v>
      </c>
    </row>
    <row r="120" spans="1:51" ht="12.75" customHeight="1" x14ac:dyDescent="0.25">
      <c r="A120" s="5">
        <v>119</v>
      </c>
      <c r="B120" s="9">
        <v>119</v>
      </c>
      <c r="C120" s="9" t="s">
        <v>1585</v>
      </c>
      <c r="D120" s="57" t="str">
        <f>HYPERLINK("http://prodenv.dep.state.fl.us/DepNexus/public/electronic-documents/OG_119/facility!search","OG_119_Docs")</f>
        <v>OG_119_Docs</v>
      </c>
      <c r="E120" s="57" t="str">
        <f>HYPERLINK("https://ca.dep.state.fl.us/mapdirect/?focus=oilandgas&amp;zoom=query&amp;querytype=oilandgas&amp;queryvalues=OG_119","OG_119_Map")</f>
        <v>OG_119_Map</v>
      </c>
      <c r="F120" s="1" t="s">
        <v>1151</v>
      </c>
      <c r="G120" s="1" t="s">
        <v>79</v>
      </c>
      <c r="H120" s="1" t="s">
        <v>229</v>
      </c>
      <c r="I120" s="1" t="s">
        <v>1586</v>
      </c>
      <c r="J120" s="17" t="s">
        <v>82</v>
      </c>
      <c r="K120" s="17" t="s">
        <v>83</v>
      </c>
      <c r="L120" s="17"/>
      <c r="M120" s="17" t="s">
        <v>84</v>
      </c>
      <c r="N120" s="52" t="s">
        <v>193</v>
      </c>
      <c r="O120" s="17" t="s">
        <v>86</v>
      </c>
      <c r="P120" s="17" t="s">
        <v>86</v>
      </c>
      <c r="Q120" s="81" t="s">
        <v>1587</v>
      </c>
      <c r="R120" s="11">
        <v>30.131226000000002</v>
      </c>
      <c r="S120" s="11">
        <v>-83.455793999999997</v>
      </c>
      <c r="T120" s="11" t="s">
        <v>1588</v>
      </c>
      <c r="U120" s="11" t="s">
        <v>1589</v>
      </c>
      <c r="V120" s="17" t="s">
        <v>1590</v>
      </c>
      <c r="W120" s="17" t="s">
        <v>110</v>
      </c>
      <c r="X120" s="70">
        <v>96</v>
      </c>
      <c r="Y120" s="70">
        <v>85</v>
      </c>
      <c r="Z120" s="13">
        <v>18224</v>
      </c>
      <c r="AA120" s="13">
        <v>18241</v>
      </c>
      <c r="AB120" s="13">
        <v>18298</v>
      </c>
      <c r="AC120" s="13">
        <v>18298</v>
      </c>
      <c r="AD120" s="86">
        <v>5243</v>
      </c>
      <c r="AE120" s="86">
        <v>5243</v>
      </c>
      <c r="AF120" s="70" t="s">
        <v>321</v>
      </c>
      <c r="AG120" s="17" t="s">
        <v>1591</v>
      </c>
      <c r="AH120" s="17" t="s">
        <v>1592</v>
      </c>
      <c r="AI120" s="70" t="s">
        <v>94</v>
      </c>
      <c r="AJ120" s="17" t="s">
        <v>94</v>
      </c>
      <c r="AK120" s="17" t="s">
        <v>95</v>
      </c>
      <c r="AL120" s="17" t="s">
        <v>1593</v>
      </c>
      <c r="AM120" s="23" t="s">
        <v>94</v>
      </c>
      <c r="AN120" s="17" t="s">
        <v>1594</v>
      </c>
      <c r="AO120" s="17" t="s">
        <v>98</v>
      </c>
      <c r="AP120" s="17" t="s">
        <v>98</v>
      </c>
      <c r="AQ120" s="17" t="s">
        <v>98</v>
      </c>
      <c r="AR120" s="17" t="s">
        <v>94</v>
      </c>
      <c r="AS120" s="17" t="s">
        <v>1595</v>
      </c>
      <c r="AT120" s="17"/>
      <c r="AU120" s="30" t="s">
        <v>1596</v>
      </c>
      <c r="AV120" s="14">
        <v>2106</v>
      </c>
      <c r="AW120" s="74"/>
      <c r="AX120" s="1"/>
      <c r="AY120" s="17" t="s">
        <v>101</v>
      </c>
    </row>
    <row r="121" spans="1:51" ht="12.75" customHeight="1" x14ac:dyDescent="0.25">
      <c r="A121" s="5">
        <v>120</v>
      </c>
      <c r="B121" s="9">
        <v>120</v>
      </c>
      <c r="C121" s="9" t="s">
        <v>1597</v>
      </c>
      <c r="D121" s="57" t="str">
        <f>HYPERLINK("http://prodenv.dep.state.fl.us/DepNexus/public/electronic-documents/OG_120/facility!search","OG_120_Docs")</f>
        <v>OG_120_Docs</v>
      </c>
      <c r="E121" s="57" t="str">
        <f>HYPERLINK("https://ca.dep.state.fl.us/mapdirect/?focus=oilandgas&amp;zoom=query&amp;querytype=oilandgas&amp;queryvalues=OG_120","OG_120_Map")</f>
        <v>OG_120_Map</v>
      </c>
      <c r="F121" s="1" t="s">
        <v>1151</v>
      </c>
      <c r="G121" s="1" t="s">
        <v>79</v>
      </c>
      <c r="H121" s="1" t="s">
        <v>229</v>
      </c>
      <c r="I121" s="1" t="s">
        <v>1598</v>
      </c>
      <c r="J121" s="17" t="s">
        <v>82</v>
      </c>
      <c r="K121" s="17" t="s">
        <v>83</v>
      </c>
      <c r="L121" s="17"/>
      <c r="M121" s="17" t="s">
        <v>84</v>
      </c>
      <c r="N121" s="52" t="s">
        <v>130</v>
      </c>
      <c r="O121" s="17" t="s">
        <v>86</v>
      </c>
      <c r="P121" s="17" t="s">
        <v>86</v>
      </c>
      <c r="Q121" s="81" t="s">
        <v>1599</v>
      </c>
      <c r="R121" s="11">
        <v>29.959779999999999</v>
      </c>
      <c r="S121" s="11">
        <v>-83.439841000000001</v>
      </c>
      <c r="T121" s="11" t="s">
        <v>1600</v>
      </c>
      <c r="U121" s="11" t="s">
        <v>1601</v>
      </c>
      <c r="V121" s="23" t="s">
        <v>1602</v>
      </c>
      <c r="W121" s="17" t="s">
        <v>110</v>
      </c>
      <c r="X121" s="70">
        <v>67</v>
      </c>
      <c r="Y121" s="70">
        <v>57</v>
      </c>
      <c r="Z121" s="13">
        <v>18259</v>
      </c>
      <c r="AA121" s="13">
        <v>18314</v>
      </c>
      <c r="AB121" s="13">
        <v>18358</v>
      </c>
      <c r="AC121" s="13">
        <v>18359</v>
      </c>
      <c r="AD121" s="86">
        <v>4876</v>
      </c>
      <c r="AE121" s="86">
        <v>4876</v>
      </c>
      <c r="AF121" s="70" t="s">
        <v>247</v>
      </c>
      <c r="AG121" s="17" t="s">
        <v>1603</v>
      </c>
      <c r="AH121" s="17" t="s">
        <v>1604</v>
      </c>
      <c r="AI121" s="70" t="s">
        <v>94</v>
      </c>
      <c r="AJ121" s="17" t="s">
        <v>94</v>
      </c>
      <c r="AK121" s="17" t="s">
        <v>95</v>
      </c>
      <c r="AL121" s="17" t="s">
        <v>1605</v>
      </c>
      <c r="AM121" s="23" t="s">
        <v>94</v>
      </c>
      <c r="AN121" s="23" t="s">
        <v>1606</v>
      </c>
      <c r="AO121" s="17" t="s">
        <v>98</v>
      </c>
      <c r="AP121" s="17" t="s">
        <v>98</v>
      </c>
      <c r="AQ121" s="17" t="s">
        <v>98</v>
      </c>
      <c r="AR121" s="17" t="s">
        <v>94</v>
      </c>
      <c r="AS121" s="17" t="s">
        <v>1607</v>
      </c>
      <c r="AT121" s="17"/>
      <c r="AU121" s="30" t="s">
        <v>1608</v>
      </c>
      <c r="AV121" s="14">
        <v>2161</v>
      </c>
      <c r="AW121" s="74"/>
      <c r="AX121" s="1"/>
      <c r="AY121" s="17" t="s">
        <v>101</v>
      </c>
    </row>
    <row r="122" spans="1:51" ht="12.75" customHeight="1" x14ac:dyDescent="0.25">
      <c r="A122" s="5">
        <v>121</v>
      </c>
      <c r="B122" s="9">
        <v>121</v>
      </c>
      <c r="C122" s="9" t="s">
        <v>1609</v>
      </c>
      <c r="D122" s="57" t="str">
        <f>HYPERLINK("http://prodenv.dep.state.fl.us/DepNexus/public/electronic-documents/OG_121/facility!search","OG_121_Docs")</f>
        <v>OG_121_Docs</v>
      </c>
      <c r="E122" s="57" t="str">
        <f>HYPERLINK("https://ca.dep.state.fl.us/mapdirect/?focus=oilandgas&amp;zoom=query&amp;querytype=oilandgas&amp;queryvalues=OG_121","OG_121_Map")</f>
        <v>OG_121_Map</v>
      </c>
      <c r="F122" s="1" t="s">
        <v>265</v>
      </c>
      <c r="G122" s="1" t="s">
        <v>266</v>
      </c>
      <c r="H122" s="1" t="s">
        <v>176</v>
      </c>
      <c r="I122" s="1" t="s">
        <v>1610</v>
      </c>
      <c r="J122" s="17" t="s">
        <v>82</v>
      </c>
      <c r="K122" s="17" t="s">
        <v>83</v>
      </c>
      <c r="L122" s="17"/>
      <c r="M122" s="17"/>
      <c r="N122" s="52" t="s">
        <v>193</v>
      </c>
      <c r="O122" s="17" t="s">
        <v>270</v>
      </c>
      <c r="P122" s="17" t="s">
        <v>86</v>
      </c>
      <c r="Q122" s="81" t="s">
        <v>1611</v>
      </c>
      <c r="R122" s="11">
        <v>26.297087999999999</v>
      </c>
      <c r="S122" s="11">
        <v>-81.385537999999997</v>
      </c>
      <c r="T122" s="11" t="s">
        <v>1612</v>
      </c>
      <c r="U122" s="11" t="s">
        <v>1613</v>
      </c>
      <c r="V122" s="17" t="s">
        <v>1614</v>
      </c>
      <c r="W122" s="17" t="s">
        <v>110</v>
      </c>
      <c r="X122" s="70">
        <v>33</v>
      </c>
      <c r="Y122" s="70">
        <v>23</v>
      </c>
      <c r="Z122" s="13">
        <v>18273</v>
      </c>
      <c r="AA122" s="13">
        <v>18275</v>
      </c>
      <c r="AB122" s="13">
        <v>18354</v>
      </c>
      <c r="AC122" s="13">
        <v>18351</v>
      </c>
      <c r="AD122" s="86">
        <v>11875</v>
      </c>
      <c r="AE122" s="86">
        <v>11875</v>
      </c>
      <c r="AF122" s="70" t="s">
        <v>810</v>
      </c>
      <c r="AG122" s="17" t="s">
        <v>1615</v>
      </c>
      <c r="AH122" s="17" t="s">
        <v>1245</v>
      </c>
      <c r="AI122" s="70" t="s">
        <v>94</v>
      </c>
      <c r="AJ122" s="17" t="s">
        <v>94</v>
      </c>
      <c r="AK122" s="17" t="s">
        <v>95</v>
      </c>
      <c r="AL122" s="17" t="s">
        <v>1616</v>
      </c>
      <c r="AM122" s="23" t="s">
        <v>95</v>
      </c>
      <c r="AN122" s="17" t="s">
        <v>1617</v>
      </c>
      <c r="AO122" s="17" t="s">
        <v>1618</v>
      </c>
      <c r="AP122" s="17" t="s">
        <v>94</v>
      </c>
      <c r="AQ122" s="17" t="s">
        <v>1619</v>
      </c>
      <c r="AR122" s="17" t="s">
        <v>94</v>
      </c>
      <c r="AS122" s="23" t="s">
        <v>1620</v>
      </c>
      <c r="AT122" s="17">
        <v>175</v>
      </c>
      <c r="AU122" s="30" t="s">
        <v>1621</v>
      </c>
      <c r="AV122" s="14">
        <v>2142</v>
      </c>
      <c r="AW122" s="74"/>
      <c r="AX122" s="1"/>
      <c r="AY122" s="17" t="s">
        <v>101</v>
      </c>
    </row>
    <row r="123" spans="1:51" ht="12.75" customHeight="1" x14ac:dyDescent="0.25">
      <c r="A123" s="5">
        <v>122</v>
      </c>
      <c r="B123" s="9">
        <v>122</v>
      </c>
      <c r="C123" s="9" t="s">
        <v>1622</v>
      </c>
      <c r="D123" s="57" t="str">
        <f>HYPERLINK("http://prodenv.dep.state.fl.us/DepNexus/public/electronic-documents/OG_122/facility!search","OG_122_Docs")</f>
        <v>OG_122_Docs</v>
      </c>
      <c r="E123" s="57" t="str">
        <f>HYPERLINK("https://ca.dep.state.fl.us/mapdirect/?focus=oilandgas&amp;zoom=query&amp;querytype=oilandgas&amp;queryvalues=OG_122","OG_122_Map")</f>
        <v>OG_122_Map</v>
      </c>
      <c r="F123" s="1" t="s">
        <v>314</v>
      </c>
      <c r="G123" s="1" t="s">
        <v>79</v>
      </c>
      <c r="H123" s="1" t="s">
        <v>1623</v>
      </c>
      <c r="I123" s="1" t="s">
        <v>316</v>
      </c>
      <c r="J123" s="17" t="s">
        <v>82</v>
      </c>
      <c r="K123" s="17" t="s">
        <v>83</v>
      </c>
      <c r="L123" s="17"/>
      <c r="M123" s="17" t="s">
        <v>101</v>
      </c>
      <c r="N123" s="52" t="s">
        <v>193</v>
      </c>
      <c r="O123" s="17" t="s">
        <v>86</v>
      </c>
      <c r="P123" s="17" t="s">
        <v>86</v>
      </c>
      <c r="Q123" s="81" t="s">
        <v>1624</v>
      </c>
      <c r="R123" s="11">
        <v>30.498266999999998</v>
      </c>
      <c r="S123" s="11">
        <v>-86.070419999999999</v>
      </c>
      <c r="T123" s="11" t="s">
        <v>1625</v>
      </c>
      <c r="U123" s="11" t="s">
        <v>1626</v>
      </c>
      <c r="V123" s="17" t="s">
        <v>1627</v>
      </c>
      <c r="W123" s="17" t="s">
        <v>110</v>
      </c>
      <c r="X123" s="70">
        <v>81</v>
      </c>
      <c r="Y123" s="70">
        <v>69.3</v>
      </c>
      <c r="Z123" s="13">
        <v>18273</v>
      </c>
      <c r="AA123" s="13">
        <v>18315</v>
      </c>
      <c r="AB123" s="13">
        <v>18325</v>
      </c>
      <c r="AC123" s="13">
        <v>18325</v>
      </c>
      <c r="AD123" s="86">
        <v>5514</v>
      </c>
      <c r="AE123" s="86">
        <v>5514</v>
      </c>
      <c r="AF123" s="70" t="s">
        <v>94</v>
      </c>
      <c r="AG123" s="17" t="s">
        <v>1628</v>
      </c>
      <c r="AH123" s="17" t="s">
        <v>94</v>
      </c>
      <c r="AI123" s="70" t="s">
        <v>94</v>
      </c>
      <c r="AJ123" s="17" t="s">
        <v>94</v>
      </c>
      <c r="AK123" s="17" t="s">
        <v>95</v>
      </c>
      <c r="AL123" s="17" t="s">
        <v>1629</v>
      </c>
      <c r="AM123" s="17" t="s">
        <v>94</v>
      </c>
      <c r="AN123" s="17" t="s">
        <v>94</v>
      </c>
      <c r="AO123" s="17" t="s">
        <v>98</v>
      </c>
      <c r="AP123" s="17" t="s">
        <v>98</v>
      </c>
      <c r="AQ123" s="17" t="s">
        <v>98</v>
      </c>
      <c r="AR123" s="17" t="s">
        <v>94</v>
      </c>
      <c r="AS123" s="17" t="s">
        <v>1630</v>
      </c>
      <c r="AT123" s="17">
        <v>128</v>
      </c>
      <c r="AU123" s="30" t="s">
        <v>1631</v>
      </c>
      <c r="AV123" s="14">
        <v>2138</v>
      </c>
      <c r="AW123" s="74"/>
      <c r="AX123" s="1"/>
      <c r="AY123" s="17" t="s">
        <v>101</v>
      </c>
    </row>
    <row r="124" spans="1:51" ht="12.75" customHeight="1" x14ac:dyDescent="0.25">
      <c r="A124" s="5">
        <v>123</v>
      </c>
      <c r="B124" s="9">
        <v>123</v>
      </c>
      <c r="C124" s="9" t="s">
        <v>1632</v>
      </c>
      <c r="D124" s="57" t="str">
        <f>HYPERLINK("http://prodenv.dep.state.fl.us/DepNexus/public/electronic-documents/OG_123/facility!search","OG_123_Docs")</f>
        <v>OG_123_Docs</v>
      </c>
      <c r="E124" s="57" t="str">
        <f>HYPERLINK("https://ca.dep.state.fl.us/mapdirect/?focus=oilandgas&amp;zoom=query&amp;querytype=oilandgas&amp;queryvalues=OG_123","OG_123_Map")</f>
        <v>OG_123_Map</v>
      </c>
      <c r="F124" s="1" t="s">
        <v>1012</v>
      </c>
      <c r="G124" s="1" t="s">
        <v>79</v>
      </c>
      <c r="H124" s="1" t="s">
        <v>1633</v>
      </c>
      <c r="I124" s="1" t="s">
        <v>1634</v>
      </c>
      <c r="J124" s="17" t="s">
        <v>82</v>
      </c>
      <c r="K124" s="17" t="s">
        <v>83</v>
      </c>
      <c r="L124" s="17"/>
      <c r="M124" s="17"/>
      <c r="N124" s="52" t="s">
        <v>86</v>
      </c>
      <c r="O124" s="17" t="s">
        <v>86</v>
      </c>
      <c r="P124" s="17" t="s">
        <v>86</v>
      </c>
      <c r="Q124" s="81" t="s">
        <v>1635</v>
      </c>
      <c r="R124" s="11">
        <v>28.108364000000002</v>
      </c>
      <c r="S124" s="11">
        <v>-82.660756000000006</v>
      </c>
      <c r="T124" s="11" t="s">
        <v>1636</v>
      </c>
      <c r="U124" s="11" t="s">
        <v>1637</v>
      </c>
      <c r="V124" s="17" t="s">
        <v>1638</v>
      </c>
      <c r="W124" s="17" t="s">
        <v>110</v>
      </c>
      <c r="X124" s="70"/>
      <c r="Y124" s="70">
        <v>21</v>
      </c>
      <c r="Z124" s="13">
        <v>18343</v>
      </c>
      <c r="AA124" s="13">
        <v>18346</v>
      </c>
      <c r="AB124" s="13">
        <v>19499</v>
      </c>
      <c r="AC124" s="13">
        <v>19499</v>
      </c>
      <c r="AD124" s="86">
        <v>1449</v>
      </c>
      <c r="AE124" s="86">
        <v>1449</v>
      </c>
      <c r="AF124" s="70" t="s">
        <v>94</v>
      </c>
      <c r="AG124" s="17" t="s">
        <v>1639</v>
      </c>
      <c r="AH124" s="17" t="s">
        <v>1640</v>
      </c>
      <c r="AI124" s="70" t="s">
        <v>94</v>
      </c>
      <c r="AJ124" s="17" t="s">
        <v>94</v>
      </c>
      <c r="AK124" s="17" t="s">
        <v>95</v>
      </c>
      <c r="AL124" s="17" t="s">
        <v>94</v>
      </c>
      <c r="AM124" s="17" t="s">
        <v>94</v>
      </c>
      <c r="AN124" s="17" t="s">
        <v>86</v>
      </c>
      <c r="AO124" s="17" t="s">
        <v>98</v>
      </c>
      <c r="AP124" s="17" t="s">
        <v>98</v>
      </c>
      <c r="AQ124" s="17" t="s">
        <v>98</v>
      </c>
      <c r="AR124" s="17" t="s">
        <v>94</v>
      </c>
      <c r="AS124" s="17" t="s">
        <v>1641</v>
      </c>
      <c r="AT124" s="17"/>
      <c r="AU124" s="30" t="s">
        <v>1642</v>
      </c>
      <c r="AV124" s="14">
        <v>2475</v>
      </c>
      <c r="AW124" s="74"/>
      <c r="AX124" s="1" t="s">
        <v>1643</v>
      </c>
      <c r="AY124" s="17" t="s">
        <v>101</v>
      </c>
    </row>
    <row r="125" spans="1:51" ht="12.75" customHeight="1" x14ac:dyDescent="0.25">
      <c r="A125" s="5">
        <v>124</v>
      </c>
      <c r="B125" s="9">
        <v>124</v>
      </c>
      <c r="C125" s="9" t="s">
        <v>1644</v>
      </c>
      <c r="D125" s="57" t="str">
        <f>HYPERLINK("http://prodenv.dep.state.fl.us/DepNexus/public/electronic-documents/OG_124/facility!search","OG_124_Docs")</f>
        <v>OG_124_Docs</v>
      </c>
      <c r="E125" s="57" t="str">
        <f>HYPERLINK("https://ca.dep.state.fl.us/mapdirect/?focus=oilandgas&amp;zoom=query&amp;querytype=oilandgas&amp;queryvalues=OG_124","OG_124_Map")</f>
        <v>OG_124_Map</v>
      </c>
      <c r="F125" s="1" t="s">
        <v>1041</v>
      </c>
      <c r="G125" s="1" t="s">
        <v>79</v>
      </c>
      <c r="H125" s="1" t="s">
        <v>229</v>
      </c>
      <c r="I125" s="1" t="s">
        <v>1645</v>
      </c>
      <c r="J125" s="17" t="s">
        <v>82</v>
      </c>
      <c r="K125" s="17" t="s">
        <v>83</v>
      </c>
      <c r="L125" s="17"/>
      <c r="M125" s="17" t="s">
        <v>101</v>
      </c>
      <c r="N125" s="52" t="s">
        <v>130</v>
      </c>
      <c r="O125" s="17" t="s">
        <v>86</v>
      </c>
      <c r="P125" s="17" t="s">
        <v>86</v>
      </c>
      <c r="Q125" s="81" t="s">
        <v>1646</v>
      </c>
      <c r="R125" s="11">
        <v>30.162254000000001</v>
      </c>
      <c r="S125" s="11">
        <v>-82.788177000000005</v>
      </c>
      <c r="T125" s="11" t="s">
        <v>1647</v>
      </c>
      <c r="U125" s="11" t="s">
        <v>1648</v>
      </c>
      <c r="V125" s="17" t="s">
        <v>1649</v>
      </c>
      <c r="W125" s="17" t="s">
        <v>110</v>
      </c>
      <c r="X125" s="70">
        <v>117</v>
      </c>
      <c r="Y125" s="70">
        <v>107</v>
      </c>
      <c r="Z125" s="13">
        <v>18343</v>
      </c>
      <c r="AA125" s="13">
        <v>18364</v>
      </c>
      <c r="AB125" s="13">
        <v>18392</v>
      </c>
      <c r="AC125" s="13">
        <v>18393</v>
      </c>
      <c r="AD125" s="86">
        <v>3470</v>
      </c>
      <c r="AE125" s="86">
        <v>3470</v>
      </c>
      <c r="AF125" s="70" t="s">
        <v>1650</v>
      </c>
      <c r="AG125" s="17" t="s">
        <v>1651</v>
      </c>
      <c r="AH125" s="17" t="s">
        <v>1652</v>
      </c>
      <c r="AI125" s="70" t="s">
        <v>94</v>
      </c>
      <c r="AJ125" s="17" t="s">
        <v>94</v>
      </c>
      <c r="AK125" s="17" t="s">
        <v>95</v>
      </c>
      <c r="AL125" s="17" t="s">
        <v>1653</v>
      </c>
      <c r="AM125" s="17" t="s">
        <v>94</v>
      </c>
      <c r="AN125" s="17" t="s">
        <v>94</v>
      </c>
      <c r="AO125" s="17" t="s">
        <v>98</v>
      </c>
      <c r="AP125" s="17" t="s">
        <v>98</v>
      </c>
      <c r="AQ125" s="17" t="s">
        <v>98</v>
      </c>
      <c r="AR125" s="17" t="s">
        <v>94</v>
      </c>
      <c r="AS125" s="17" t="s">
        <v>1654</v>
      </c>
      <c r="AT125" s="17">
        <v>72</v>
      </c>
      <c r="AU125" s="30" t="s">
        <v>1655</v>
      </c>
      <c r="AV125" s="14">
        <v>2164</v>
      </c>
      <c r="AW125" s="74"/>
      <c r="AX125" s="1"/>
      <c r="AY125" s="17" t="s">
        <v>101</v>
      </c>
    </row>
    <row r="126" spans="1:51" ht="12.75" customHeight="1" x14ac:dyDescent="0.25">
      <c r="A126" s="5">
        <v>125</v>
      </c>
      <c r="B126" s="9">
        <v>125</v>
      </c>
      <c r="C126" s="9" t="s">
        <v>1656</v>
      </c>
      <c r="D126" s="57" t="str">
        <f>HYPERLINK("http://prodenv.dep.state.fl.us/DepNexus/public/electronic-documents/OG_125/facility!search","OG_125_Docs")</f>
        <v>OG_125_Docs</v>
      </c>
      <c r="E126" s="57" t="str">
        <f>HYPERLINK("https://ca.dep.state.fl.us/mapdirect/?focus=oilandgas&amp;zoom=query&amp;querytype=oilandgas&amp;queryvalues=OG_125","OG_125_Map")</f>
        <v>OG_125_Map</v>
      </c>
      <c r="F126" s="1" t="s">
        <v>265</v>
      </c>
      <c r="G126" s="1" t="s">
        <v>266</v>
      </c>
      <c r="H126" s="1" t="s">
        <v>176</v>
      </c>
      <c r="I126" s="1" t="s">
        <v>1657</v>
      </c>
      <c r="J126" s="17" t="s">
        <v>82</v>
      </c>
      <c r="K126" s="17" t="s">
        <v>83</v>
      </c>
      <c r="L126" s="17"/>
      <c r="M126" s="17"/>
      <c r="N126" s="52" t="s">
        <v>193</v>
      </c>
      <c r="O126" s="17" t="s">
        <v>270</v>
      </c>
      <c r="P126" s="17" t="s">
        <v>86</v>
      </c>
      <c r="Q126" s="81" t="s">
        <v>1658</v>
      </c>
      <c r="R126" s="11">
        <v>26.304506</v>
      </c>
      <c r="S126" s="11">
        <v>-81.389695000000003</v>
      </c>
      <c r="T126" s="11" t="s">
        <v>1659</v>
      </c>
      <c r="U126" s="11" t="s">
        <v>1660</v>
      </c>
      <c r="V126" s="17" t="s">
        <v>1661</v>
      </c>
      <c r="W126" s="17" t="s">
        <v>110</v>
      </c>
      <c r="X126" s="70">
        <v>34</v>
      </c>
      <c r="Y126" s="71"/>
      <c r="Z126" s="13">
        <v>18350</v>
      </c>
      <c r="AA126" s="13">
        <v>18360</v>
      </c>
      <c r="AB126" s="13">
        <v>18429</v>
      </c>
      <c r="AC126" s="13">
        <v>18429</v>
      </c>
      <c r="AD126" s="86">
        <v>11658</v>
      </c>
      <c r="AE126" s="86">
        <v>11658</v>
      </c>
      <c r="AF126" s="71" t="s">
        <v>1662</v>
      </c>
      <c r="AG126" s="23" t="s">
        <v>1663</v>
      </c>
      <c r="AH126" s="23" t="s">
        <v>1508</v>
      </c>
      <c r="AI126" s="70" t="s">
        <v>94</v>
      </c>
      <c r="AJ126" s="17" t="s">
        <v>94</v>
      </c>
      <c r="AK126" s="17" t="s">
        <v>95</v>
      </c>
      <c r="AL126" s="23" t="s">
        <v>1664</v>
      </c>
      <c r="AM126" s="17" t="s">
        <v>94</v>
      </c>
      <c r="AN126" s="23" t="s">
        <v>1665</v>
      </c>
      <c r="AO126" s="23" t="s">
        <v>1666</v>
      </c>
      <c r="AP126" s="17" t="s">
        <v>94</v>
      </c>
      <c r="AQ126" s="23" t="s">
        <v>1667</v>
      </c>
      <c r="AR126" s="17" t="s">
        <v>94</v>
      </c>
      <c r="AS126" s="23" t="s">
        <v>1668</v>
      </c>
      <c r="AT126" s="17"/>
      <c r="AU126" s="30" t="s">
        <v>1669</v>
      </c>
      <c r="AV126" s="14">
        <v>2188</v>
      </c>
      <c r="AW126" s="74"/>
      <c r="AX126" s="1"/>
      <c r="AY126" s="17" t="s">
        <v>101</v>
      </c>
    </row>
    <row r="127" spans="1:51" ht="12.75" customHeight="1" x14ac:dyDescent="0.25">
      <c r="A127" s="5">
        <v>126</v>
      </c>
      <c r="B127" s="9">
        <v>126</v>
      </c>
      <c r="C127" s="9" t="s">
        <v>1670</v>
      </c>
      <c r="D127" s="57" t="str">
        <f>HYPERLINK("http://prodenv.dep.state.fl.us/DepNexus/public/electronic-documents/OG_126/facility!search","OG_126_Docs")</f>
        <v>OG_126_Docs</v>
      </c>
      <c r="E127" s="57" t="str">
        <f>HYPERLINK("https://ca.dep.state.fl.us/mapdirect/?focus=oilandgas&amp;zoom=query&amp;querytype=oilandgas&amp;queryvalues=OG_126","OG_126_Map")</f>
        <v>OG_126_Map</v>
      </c>
      <c r="F127" s="1" t="s">
        <v>784</v>
      </c>
      <c r="G127" s="1" t="s">
        <v>79</v>
      </c>
      <c r="H127" s="1" t="s">
        <v>1671</v>
      </c>
      <c r="I127" s="1" t="s">
        <v>1672</v>
      </c>
      <c r="J127" s="17" t="s">
        <v>82</v>
      </c>
      <c r="K127" s="17" t="s">
        <v>83</v>
      </c>
      <c r="L127" s="17"/>
      <c r="M127" s="17"/>
      <c r="N127" s="52" t="s">
        <v>193</v>
      </c>
      <c r="O127" s="17" t="s">
        <v>86</v>
      </c>
      <c r="P127" s="17" t="s">
        <v>86</v>
      </c>
      <c r="Q127" s="81" t="s">
        <v>1673</v>
      </c>
      <c r="R127" s="11">
        <v>30.163841999999999</v>
      </c>
      <c r="S127" s="11">
        <v>-82.456288000000001</v>
      </c>
      <c r="T127" s="11" t="s">
        <v>1674</v>
      </c>
      <c r="U127" s="11" t="s">
        <v>1675</v>
      </c>
      <c r="V127" s="17" t="s">
        <v>809</v>
      </c>
      <c r="W127" s="17" t="s">
        <v>110</v>
      </c>
      <c r="X127" s="70">
        <v>155</v>
      </c>
      <c r="Y127" s="70">
        <v>145</v>
      </c>
      <c r="Z127" s="13">
        <v>18420</v>
      </c>
      <c r="AA127" s="13">
        <v>18422</v>
      </c>
      <c r="AB127" s="13">
        <v>18441</v>
      </c>
      <c r="AC127" s="13">
        <v>18441</v>
      </c>
      <c r="AD127" s="86">
        <v>3043</v>
      </c>
      <c r="AE127" s="86">
        <v>3043</v>
      </c>
      <c r="AF127" s="70" t="s">
        <v>1650</v>
      </c>
      <c r="AG127" s="17" t="s">
        <v>1676</v>
      </c>
      <c r="AH127" s="23" t="s">
        <v>1677</v>
      </c>
      <c r="AI127" s="70" t="s">
        <v>94</v>
      </c>
      <c r="AJ127" s="17" t="s">
        <v>94</v>
      </c>
      <c r="AK127" s="17" t="s">
        <v>95</v>
      </c>
      <c r="AL127" s="17" t="s">
        <v>1678</v>
      </c>
      <c r="AM127" s="17" t="s">
        <v>825</v>
      </c>
      <c r="AN127" s="17" t="s">
        <v>94</v>
      </c>
      <c r="AO127" s="17" t="s">
        <v>98</v>
      </c>
      <c r="AP127" s="17" t="s">
        <v>98</v>
      </c>
      <c r="AQ127" s="17" t="s">
        <v>98</v>
      </c>
      <c r="AR127" s="17" t="s">
        <v>94</v>
      </c>
      <c r="AS127" s="23" t="s">
        <v>1679</v>
      </c>
      <c r="AT127" s="17"/>
      <c r="AU127" s="30" t="s">
        <v>1680</v>
      </c>
      <c r="AV127" s="14">
        <v>2187</v>
      </c>
      <c r="AW127" s="74"/>
      <c r="AX127" s="24" t="s">
        <v>1500</v>
      </c>
      <c r="AY127" s="17" t="s">
        <v>101</v>
      </c>
    </row>
    <row r="128" spans="1:51" ht="12.75" customHeight="1" x14ac:dyDescent="0.25">
      <c r="A128" s="5">
        <v>127</v>
      </c>
      <c r="B128" s="9">
        <v>127</v>
      </c>
      <c r="C128" s="9" t="s">
        <v>1681</v>
      </c>
      <c r="D128" s="57" t="str">
        <f>HYPERLINK("http://prodenv.dep.state.fl.us/DepNexus/public/electronic-documents/OG_127/facility!search","OG_127_Docs")</f>
        <v>OG_127_Docs</v>
      </c>
      <c r="E128" s="57" t="str">
        <f>HYPERLINK("https://ca.dep.state.fl.us/mapdirect/?focus=oilandgas&amp;zoom=query&amp;querytype=oilandgas&amp;queryvalues=OG_127","OG_127_Map")</f>
        <v>OG_127_Map</v>
      </c>
      <c r="F128" s="1" t="s">
        <v>1682</v>
      </c>
      <c r="G128" s="1" t="s">
        <v>79</v>
      </c>
      <c r="H128" s="1" t="s">
        <v>1683</v>
      </c>
      <c r="I128" s="1" t="s">
        <v>1684</v>
      </c>
      <c r="J128" s="17" t="s">
        <v>82</v>
      </c>
      <c r="K128" s="17" t="s">
        <v>83</v>
      </c>
      <c r="L128" s="17"/>
      <c r="M128" s="17"/>
      <c r="N128" s="52" t="s">
        <v>193</v>
      </c>
      <c r="O128" s="17" t="s">
        <v>86</v>
      </c>
      <c r="P128" s="17" t="s">
        <v>86</v>
      </c>
      <c r="Q128" s="81" t="s">
        <v>1685</v>
      </c>
      <c r="R128" s="11">
        <v>30.992134</v>
      </c>
      <c r="S128" s="11">
        <v>-87.214333999999994</v>
      </c>
      <c r="T128" s="11" t="s">
        <v>1686</v>
      </c>
      <c r="U128" s="11" t="s">
        <v>1687</v>
      </c>
      <c r="V128" s="17" t="s">
        <v>1145</v>
      </c>
      <c r="W128" s="17" t="s">
        <v>110</v>
      </c>
      <c r="X128" s="70">
        <v>82</v>
      </c>
      <c r="Y128" s="71"/>
      <c r="Z128" s="13">
        <v>18441</v>
      </c>
      <c r="AA128" s="13">
        <v>18458</v>
      </c>
      <c r="AB128" s="13">
        <v>18485</v>
      </c>
      <c r="AC128" s="13">
        <v>18485</v>
      </c>
      <c r="AD128" s="86">
        <v>6600</v>
      </c>
      <c r="AE128" s="86">
        <v>6600</v>
      </c>
      <c r="AF128" s="71" t="s">
        <v>1688</v>
      </c>
      <c r="AG128" s="17" t="s">
        <v>94</v>
      </c>
      <c r="AH128" s="17" t="s">
        <v>94</v>
      </c>
      <c r="AI128" s="70" t="s">
        <v>94</v>
      </c>
      <c r="AJ128" s="17" t="s">
        <v>94</v>
      </c>
      <c r="AK128" s="17" t="s">
        <v>95</v>
      </c>
      <c r="AL128" s="17" t="s">
        <v>94</v>
      </c>
      <c r="AM128" s="17" t="s">
        <v>94</v>
      </c>
      <c r="AN128" s="17" t="s">
        <v>94</v>
      </c>
      <c r="AO128" s="17" t="s">
        <v>98</v>
      </c>
      <c r="AP128" s="17" t="s">
        <v>98</v>
      </c>
      <c r="AQ128" s="17" t="s">
        <v>98</v>
      </c>
      <c r="AR128" s="17" t="s">
        <v>94</v>
      </c>
      <c r="AS128" s="23" t="s">
        <v>1689</v>
      </c>
      <c r="AT128" s="17"/>
      <c r="AU128" s="30" t="s">
        <v>1690</v>
      </c>
      <c r="AV128" s="14">
        <v>2236</v>
      </c>
      <c r="AW128" s="74"/>
      <c r="AX128" s="1"/>
      <c r="AY128" s="17" t="s">
        <v>101</v>
      </c>
    </row>
    <row r="129" spans="1:51" ht="12.75" customHeight="1" x14ac:dyDescent="0.25">
      <c r="A129" s="5">
        <v>128</v>
      </c>
      <c r="B129" s="9">
        <v>128</v>
      </c>
      <c r="C129" s="9" t="s">
        <v>1691</v>
      </c>
      <c r="D129" s="57" t="str">
        <f>HYPERLINK("http://prodenv.dep.state.fl.us/DepNexus/public/electronic-documents/OG_128/facility!search","OG_128_Docs")</f>
        <v>OG_128_Docs</v>
      </c>
      <c r="E129" s="57" t="str">
        <f>HYPERLINK("https://ca.dep.state.fl.us/mapdirect/?focus=oilandgas&amp;zoom=query&amp;querytype=oilandgas&amp;queryvalues=OG_128","OG_128_Map")</f>
        <v>OG_128_Map</v>
      </c>
      <c r="F129" s="1" t="s">
        <v>634</v>
      </c>
      <c r="G129" s="1" t="s">
        <v>79</v>
      </c>
      <c r="H129" s="1" t="s">
        <v>1692</v>
      </c>
      <c r="I129" s="1" t="s">
        <v>1693</v>
      </c>
      <c r="J129" s="17" t="s">
        <v>82</v>
      </c>
      <c r="K129" s="17" t="s">
        <v>83</v>
      </c>
      <c r="L129" s="17"/>
      <c r="M129" s="17"/>
      <c r="N129" s="52" t="s">
        <v>130</v>
      </c>
      <c r="O129" s="17" t="s">
        <v>86</v>
      </c>
      <c r="P129" s="17" t="s">
        <v>86</v>
      </c>
      <c r="Q129" s="81" t="s">
        <v>1694</v>
      </c>
      <c r="R129" s="11">
        <v>30.339303999999998</v>
      </c>
      <c r="S129" s="11">
        <v>-83.062201000000002</v>
      </c>
      <c r="T129" s="11" t="s">
        <v>1695</v>
      </c>
      <c r="U129" s="11" t="s">
        <v>1696</v>
      </c>
      <c r="V129" s="17" t="s">
        <v>1697</v>
      </c>
      <c r="W129" s="17" t="s">
        <v>110</v>
      </c>
      <c r="X129" s="70">
        <v>118</v>
      </c>
      <c r="Y129" s="70">
        <v>106</v>
      </c>
      <c r="Z129" s="13">
        <v>18483</v>
      </c>
      <c r="AA129" s="13">
        <v>18484</v>
      </c>
      <c r="AB129" s="13">
        <v>18516</v>
      </c>
      <c r="AC129" s="13">
        <v>18516</v>
      </c>
      <c r="AD129" s="86">
        <v>3480</v>
      </c>
      <c r="AE129" s="86">
        <v>3480</v>
      </c>
      <c r="AF129" s="70" t="s">
        <v>1698</v>
      </c>
      <c r="AG129" s="17" t="s">
        <v>1699</v>
      </c>
      <c r="AH129" s="17" t="s">
        <v>94</v>
      </c>
      <c r="AI129" s="70" t="s">
        <v>94</v>
      </c>
      <c r="AJ129" s="17" t="s">
        <v>94</v>
      </c>
      <c r="AK129" s="17" t="s">
        <v>95</v>
      </c>
      <c r="AL129" s="17" t="s">
        <v>1700</v>
      </c>
      <c r="AM129" s="17" t="s">
        <v>94</v>
      </c>
      <c r="AN129" s="17" t="s">
        <v>94</v>
      </c>
      <c r="AO129" s="17" t="s">
        <v>98</v>
      </c>
      <c r="AP129" s="17" t="s">
        <v>98</v>
      </c>
      <c r="AQ129" s="17" t="s">
        <v>98</v>
      </c>
      <c r="AR129" s="17" t="s">
        <v>94</v>
      </c>
      <c r="AS129" s="23" t="s">
        <v>1701</v>
      </c>
      <c r="AT129" s="17"/>
      <c r="AU129" s="30" t="s">
        <v>1702</v>
      </c>
      <c r="AV129" s="14">
        <v>2255</v>
      </c>
      <c r="AW129" s="74"/>
      <c r="AX129" s="1"/>
      <c r="AY129" s="17" t="s">
        <v>101</v>
      </c>
    </row>
    <row r="130" spans="1:51" ht="12.75" customHeight="1" x14ac:dyDescent="0.25">
      <c r="A130" s="5">
        <v>129</v>
      </c>
      <c r="B130" s="9">
        <v>129</v>
      </c>
      <c r="C130" s="9" t="s">
        <v>1703</v>
      </c>
      <c r="D130" s="57" t="str">
        <f>HYPERLINK("http://prodenv.dep.state.fl.us/DepNexus/public/electronic-documents/OG_129/facility!search","OG_129_Docs")</f>
        <v>OG_129_Docs</v>
      </c>
      <c r="E130" s="57" t="str">
        <f>HYPERLINK("https://ca.dep.state.fl.us/mapdirect/?focus=oilandgas&amp;zoom=query&amp;querytype=oilandgas&amp;queryvalues=OG_129","OG_129_Map")</f>
        <v>OG_129_Map</v>
      </c>
      <c r="F130" s="1" t="s">
        <v>204</v>
      </c>
      <c r="G130" s="1" t="s">
        <v>79</v>
      </c>
      <c r="H130" s="1" t="s">
        <v>1704</v>
      </c>
      <c r="I130" s="1" t="s">
        <v>1705</v>
      </c>
      <c r="J130" s="17" t="s">
        <v>82</v>
      </c>
      <c r="K130" s="17" t="s">
        <v>83</v>
      </c>
      <c r="L130" s="17" t="s">
        <v>101</v>
      </c>
      <c r="M130" s="17" t="s">
        <v>101</v>
      </c>
      <c r="N130" s="52" t="s">
        <v>1706</v>
      </c>
      <c r="O130" s="17" t="s">
        <v>86</v>
      </c>
      <c r="P130" s="17" t="s">
        <v>86</v>
      </c>
      <c r="Q130" s="81" t="s">
        <v>1707</v>
      </c>
      <c r="R130" s="11">
        <v>25.807556999999999</v>
      </c>
      <c r="S130" s="11">
        <v>-80.872585000000001</v>
      </c>
      <c r="T130" s="11" t="s">
        <v>1708</v>
      </c>
      <c r="U130" s="11" t="s">
        <v>1709</v>
      </c>
      <c r="V130" s="17" t="s">
        <v>1710</v>
      </c>
      <c r="W130" s="17" t="s">
        <v>110</v>
      </c>
      <c r="X130" s="70">
        <v>14</v>
      </c>
      <c r="Y130" s="70">
        <v>9</v>
      </c>
      <c r="Z130" s="13">
        <v>18656</v>
      </c>
      <c r="AA130" s="13">
        <v>18689</v>
      </c>
      <c r="AB130" s="13">
        <v>18834</v>
      </c>
      <c r="AC130" s="13">
        <v>18834</v>
      </c>
      <c r="AD130" s="86">
        <v>11885</v>
      </c>
      <c r="AE130" s="86">
        <v>11885</v>
      </c>
      <c r="AF130" s="70" t="s">
        <v>1711</v>
      </c>
      <c r="AG130" s="23" t="s">
        <v>1712</v>
      </c>
      <c r="AH130" s="17" t="s">
        <v>1713</v>
      </c>
      <c r="AI130" s="70" t="s">
        <v>94</v>
      </c>
      <c r="AJ130" s="17" t="s">
        <v>94</v>
      </c>
      <c r="AK130" s="17" t="s">
        <v>825</v>
      </c>
      <c r="AL130" s="17" t="s">
        <v>1714</v>
      </c>
      <c r="AM130" s="17" t="s">
        <v>95</v>
      </c>
      <c r="AN130" s="17" t="s">
        <v>94</v>
      </c>
      <c r="AO130" s="17" t="s">
        <v>98</v>
      </c>
      <c r="AP130" s="17" t="s">
        <v>98</v>
      </c>
      <c r="AQ130" s="17" t="s">
        <v>98</v>
      </c>
      <c r="AR130" s="17" t="s">
        <v>94</v>
      </c>
      <c r="AS130" s="17" t="s">
        <v>1715</v>
      </c>
      <c r="AT130" s="17">
        <v>118</v>
      </c>
      <c r="AU130" s="30" t="s">
        <v>1716</v>
      </c>
      <c r="AV130" s="14">
        <v>935</v>
      </c>
      <c r="AW130" s="74"/>
      <c r="AX130" s="1"/>
      <c r="AY130" s="17" t="s">
        <v>101</v>
      </c>
    </row>
    <row r="131" spans="1:51" ht="12.75" customHeight="1" x14ac:dyDescent="0.25">
      <c r="A131" s="5">
        <v>130</v>
      </c>
      <c r="B131" s="9">
        <v>130</v>
      </c>
      <c r="C131" s="9" t="s">
        <v>1717</v>
      </c>
      <c r="D131" s="57" t="str">
        <f>HYPERLINK("http://prodenv.dep.state.fl.us/DepNexus/public/electronic-documents/OG_130/facility!search","OG_130_Docs")</f>
        <v>OG_130_Docs</v>
      </c>
      <c r="E131" s="57" t="str">
        <f>HYPERLINK("https://ca.dep.state.fl.us/mapdirect/?focus=oilandgas&amp;zoom=query&amp;querytype=oilandgas&amp;queryvalues=OG_130","OG_130_Map")</f>
        <v>OG_130_Map</v>
      </c>
      <c r="F131" s="1" t="s">
        <v>265</v>
      </c>
      <c r="G131" s="1" t="s">
        <v>79</v>
      </c>
      <c r="H131" s="1" t="s">
        <v>176</v>
      </c>
      <c r="I131" s="1" t="s">
        <v>1718</v>
      </c>
      <c r="J131" s="17" t="s">
        <v>82</v>
      </c>
      <c r="K131" s="17" t="s">
        <v>83</v>
      </c>
      <c r="L131" s="17"/>
      <c r="M131" s="17" t="s">
        <v>101</v>
      </c>
      <c r="N131" s="52" t="s">
        <v>130</v>
      </c>
      <c r="O131" s="17" t="s">
        <v>270</v>
      </c>
      <c r="P131" s="17" t="s">
        <v>86</v>
      </c>
      <c r="Q131" s="81" t="s">
        <v>1719</v>
      </c>
      <c r="R131" s="11">
        <v>26.089676000000001</v>
      </c>
      <c r="S131" s="11">
        <v>-81.694873999999999</v>
      </c>
      <c r="T131" s="11" t="s">
        <v>1720</v>
      </c>
      <c r="U131" s="11" t="s">
        <v>1721</v>
      </c>
      <c r="V131" s="17" t="s">
        <v>1722</v>
      </c>
      <c r="W131" s="17" t="s">
        <v>110</v>
      </c>
      <c r="X131" s="70">
        <v>25</v>
      </c>
      <c r="Y131" s="70"/>
      <c r="Z131" s="13">
        <v>18742</v>
      </c>
      <c r="AA131" s="13">
        <v>18750</v>
      </c>
      <c r="AB131" s="13">
        <v>18870</v>
      </c>
      <c r="AC131" s="13">
        <v>18870</v>
      </c>
      <c r="AD131" s="86">
        <v>12516</v>
      </c>
      <c r="AE131" s="86">
        <v>12516</v>
      </c>
      <c r="AF131" s="71" t="s">
        <v>1723</v>
      </c>
      <c r="AG131" s="23" t="s">
        <v>1724</v>
      </c>
      <c r="AH131" s="23" t="s">
        <v>1725</v>
      </c>
      <c r="AI131" s="70" t="s">
        <v>94</v>
      </c>
      <c r="AJ131" s="17" t="s">
        <v>94</v>
      </c>
      <c r="AK131" s="17" t="s">
        <v>95</v>
      </c>
      <c r="AL131" s="17" t="s">
        <v>1726</v>
      </c>
      <c r="AM131" s="17" t="s">
        <v>94</v>
      </c>
      <c r="AN131" s="17" t="s">
        <v>94</v>
      </c>
      <c r="AO131" s="17" t="s">
        <v>98</v>
      </c>
      <c r="AP131" s="17" t="s">
        <v>98</v>
      </c>
      <c r="AQ131" s="17" t="s">
        <v>98</v>
      </c>
      <c r="AR131" s="17" t="s">
        <v>94</v>
      </c>
      <c r="AS131" s="17" t="s">
        <v>1727</v>
      </c>
      <c r="AT131" s="17"/>
      <c r="AU131" s="30" t="s">
        <v>1728</v>
      </c>
      <c r="AV131" s="14">
        <v>2420</v>
      </c>
      <c r="AW131" s="74"/>
      <c r="AX131" s="1"/>
      <c r="AY131" s="17" t="s">
        <v>101</v>
      </c>
    </row>
    <row r="132" spans="1:51" ht="12.75" customHeight="1" x14ac:dyDescent="0.25">
      <c r="A132" s="5">
        <v>131</v>
      </c>
      <c r="B132" s="9">
        <v>131</v>
      </c>
      <c r="C132" s="9" t="s">
        <v>1729</v>
      </c>
      <c r="D132" s="57" t="str">
        <f>HYPERLINK("http://prodenv.dep.state.fl.us/DepNexus/public/electronic-documents/OG_131/facility!search","OG_131_Docs")</f>
        <v>OG_131_Docs</v>
      </c>
      <c r="E132" s="57" t="str">
        <f>HYPERLINK("https://ca.dep.state.fl.us/mapdirect/?focus=oilandgas&amp;zoom=query&amp;querytype=oilandgas&amp;queryvalues=OG_131","OG_131_Map")</f>
        <v>OG_131_Map</v>
      </c>
      <c r="F132" s="1" t="s">
        <v>1012</v>
      </c>
      <c r="G132" s="1" t="s">
        <v>79</v>
      </c>
      <c r="H132" s="1" t="s">
        <v>1633</v>
      </c>
      <c r="I132" s="1" t="s">
        <v>1730</v>
      </c>
      <c r="J132" s="17" t="s">
        <v>82</v>
      </c>
      <c r="K132" s="17" t="s">
        <v>83</v>
      </c>
      <c r="L132" s="17"/>
      <c r="M132" s="17"/>
      <c r="N132" s="52" t="s">
        <v>86</v>
      </c>
      <c r="O132" s="17" t="s">
        <v>86</v>
      </c>
      <c r="P132" s="17" t="s">
        <v>86</v>
      </c>
      <c r="Q132" s="81" t="s">
        <v>1731</v>
      </c>
      <c r="R132" s="11">
        <v>28.079920000000001</v>
      </c>
      <c r="S132" s="11">
        <v>-82.657320999999996</v>
      </c>
      <c r="T132" s="11" t="s">
        <v>1732</v>
      </c>
      <c r="U132" s="11" t="s">
        <v>1733</v>
      </c>
      <c r="V132" s="17" t="s">
        <v>1734</v>
      </c>
      <c r="W132" s="17" t="s">
        <v>110</v>
      </c>
      <c r="X132" s="70"/>
      <c r="Y132" s="70">
        <v>22</v>
      </c>
      <c r="Z132" s="13">
        <v>18812</v>
      </c>
      <c r="AA132" s="13">
        <v>18813</v>
      </c>
      <c r="AB132" s="13">
        <v>21089</v>
      </c>
      <c r="AC132" s="13">
        <v>21089</v>
      </c>
      <c r="AD132" s="86">
        <v>4620</v>
      </c>
      <c r="AE132" s="86">
        <v>4620</v>
      </c>
      <c r="AF132" s="70" t="s">
        <v>94</v>
      </c>
      <c r="AG132" s="17" t="s">
        <v>1735</v>
      </c>
      <c r="AH132" s="17" t="s">
        <v>1736</v>
      </c>
      <c r="AI132" s="70" t="s">
        <v>94</v>
      </c>
      <c r="AJ132" s="17" t="s">
        <v>94</v>
      </c>
      <c r="AK132" s="17" t="s">
        <v>95</v>
      </c>
      <c r="AL132" s="17" t="s">
        <v>94</v>
      </c>
      <c r="AM132" s="17" t="s">
        <v>94</v>
      </c>
      <c r="AN132" s="17" t="s">
        <v>86</v>
      </c>
      <c r="AO132" s="17" t="s">
        <v>98</v>
      </c>
      <c r="AP132" s="17" t="s">
        <v>98</v>
      </c>
      <c r="AQ132" s="17" t="s">
        <v>98</v>
      </c>
      <c r="AR132" s="17" t="s">
        <v>94</v>
      </c>
      <c r="AS132" s="17" t="s">
        <v>1737</v>
      </c>
      <c r="AT132" s="17"/>
      <c r="AU132" s="30" t="s">
        <v>1738</v>
      </c>
      <c r="AV132" s="14">
        <v>4506</v>
      </c>
      <c r="AW132" s="74"/>
      <c r="AX132" s="1"/>
      <c r="AY132" s="17" t="s">
        <v>101</v>
      </c>
    </row>
    <row r="133" spans="1:51" ht="12.75" customHeight="1" x14ac:dyDescent="0.25">
      <c r="A133" s="5">
        <v>132</v>
      </c>
      <c r="B133" s="9">
        <v>132</v>
      </c>
      <c r="C133" s="9" t="s">
        <v>1739</v>
      </c>
      <c r="D133" s="57" t="str">
        <f>HYPERLINK("http://prodenv.dep.state.fl.us/DepNexus/public/electronic-documents/OG_132/facility!search","OG_132_Docs")</f>
        <v>OG_132_Docs</v>
      </c>
      <c r="E133" s="57" t="str">
        <f>HYPERLINK("https://ca.dep.state.fl.us/mapdirect/?focus=oilandgas&amp;zoom=query&amp;querytype=oilandgas&amp;queryvalues=OG_132","OG_132_Map")</f>
        <v>OG_132_Map</v>
      </c>
      <c r="F133" s="1" t="s">
        <v>1682</v>
      </c>
      <c r="G133" s="1" t="s">
        <v>79</v>
      </c>
      <c r="H133" s="1" t="s">
        <v>1740</v>
      </c>
      <c r="I133" s="1" t="s">
        <v>1741</v>
      </c>
      <c r="J133" s="17" t="s">
        <v>82</v>
      </c>
      <c r="K133" s="17" t="s">
        <v>83</v>
      </c>
      <c r="L133" s="17"/>
      <c r="M133" s="17" t="s">
        <v>101</v>
      </c>
      <c r="N133" s="52" t="s">
        <v>130</v>
      </c>
      <c r="O133" s="17" t="s">
        <v>86</v>
      </c>
      <c r="P133" s="17" t="s">
        <v>86</v>
      </c>
      <c r="Q133" s="81" t="s">
        <v>1742</v>
      </c>
      <c r="R133" s="11">
        <v>30.427015999999998</v>
      </c>
      <c r="S133" s="11">
        <v>-87.337074999999999</v>
      </c>
      <c r="T133" s="11" t="s">
        <v>1743</v>
      </c>
      <c r="U133" s="11" t="s">
        <v>1744</v>
      </c>
      <c r="V133" s="17" t="s">
        <v>1745</v>
      </c>
      <c r="W133" s="17" t="s">
        <v>110</v>
      </c>
      <c r="X133" s="70">
        <v>19</v>
      </c>
      <c r="Y133" s="70"/>
      <c r="Z133" s="13">
        <v>18896</v>
      </c>
      <c r="AA133" s="13">
        <v>18911</v>
      </c>
      <c r="AB133" s="13">
        <v>18976</v>
      </c>
      <c r="AC133" s="13">
        <v>18976</v>
      </c>
      <c r="AD133" s="86">
        <v>7494</v>
      </c>
      <c r="AE133" s="86">
        <v>7494</v>
      </c>
      <c r="AF133" s="70" t="s">
        <v>1746</v>
      </c>
      <c r="AG133" s="17" t="s">
        <v>1747</v>
      </c>
      <c r="AH133" s="17" t="s">
        <v>94</v>
      </c>
      <c r="AI133" s="70" t="s">
        <v>94</v>
      </c>
      <c r="AJ133" s="17" t="s">
        <v>94</v>
      </c>
      <c r="AK133" s="17" t="s">
        <v>95</v>
      </c>
      <c r="AL133" s="17" t="s">
        <v>1748</v>
      </c>
      <c r="AM133" s="17" t="s">
        <v>95</v>
      </c>
      <c r="AN133" s="17" t="s">
        <v>94</v>
      </c>
      <c r="AO133" s="17" t="s">
        <v>98</v>
      </c>
      <c r="AP133" s="17" t="s">
        <v>98</v>
      </c>
      <c r="AQ133" s="17" t="s">
        <v>98</v>
      </c>
      <c r="AR133" s="17" t="s">
        <v>94</v>
      </c>
      <c r="AS133" s="17" t="s">
        <v>1749</v>
      </c>
      <c r="AT133" s="17">
        <v>168</v>
      </c>
      <c r="AU133" s="30" t="s">
        <v>1750</v>
      </c>
      <c r="AV133" s="14">
        <v>2519</v>
      </c>
      <c r="AW133" s="74"/>
      <c r="AX133" s="1"/>
      <c r="AY133" s="17" t="s">
        <v>101</v>
      </c>
    </row>
    <row r="134" spans="1:51" ht="12.75" customHeight="1" x14ac:dyDescent="0.25">
      <c r="A134" s="5">
        <v>133</v>
      </c>
      <c r="B134" s="9">
        <v>133</v>
      </c>
      <c r="C134" s="9" t="s">
        <v>1751</v>
      </c>
      <c r="D134" s="57" t="str">
        <f>HYPERLINK("http://prodenv.dep.state.fl.us/DepNexus/public/electronic-documents/OG_133/facility!search","OG_133_Docs")</f>
        <v>OG_133_Docs</v>
      </c>
      <c r="E134" s="57" t="str">
        <f>HYPERLINK("https://ca.dep.state.fl.us/mapdirect/?focus=oilandgas&amp;zoom=query&amp;querytype=oilandgas&amp;queryvalues=OG_133","OG_133_Map")</f>
        <v>OG_133_Map</v>
      </c>
      <c r="F134" s="1" t="s">
        <v>1752</v>
      </c>
      <c r="G134" s="1" t="s">
        <v>79</v>
      </c>
      <c r="H134" s="1" t="s">
        <v>176</v>
      </c>
      <c r="I134" s="1" t="s">
        <v>1753</v>
      </c>
      <c r="J134" s="17" t="s">
        <v>82</v>
      </c>
      <c r="K134" s="17" t="s">
        <v>83</v>
      </c>
      <c r="L134" s="17"/>
      <c r="M134" s="17"/>
      <c r="N134" s="52" t="s">
        <v>86</v>
      </c>
      <c r="O134" s="17" t="s">
        <v>270</v>
      </c>
      <c r="P134" s="17" t="s">
        <v>86</v>
      </c>
      <c r="Q134" s="81" t="s">
        <v>1754</v>
      </c>
      <c r="R134" s="11">
        <v>26.391939000000001</v>
      </c>
      <c r="S134" s="11">
        <v>-81.196198999999993</v>
      </c>
      <c r="T134" s="11" t="s">
        <v>1755</v>
      </c>
      <c r="U134" s="11" t="s">
        <v>1756</v>
      </c>
      <c r="V134" s="17" t="s">
        <v>1757</v>
      </c>
      <c r="W134" s="17" t="s">
        <v>110</v>
      </c>
      <c r="X134" s="70">
        <v>40</v>
      </c>
      <c r="Y134" s="70"/>
      <c r="Z134" s="13">
        <v>18910</v>
      </c>
      <c r="AA134" s="13">
        <v>18938</v>
      </c>
      <c r="AB134" s="13">
        <v>19045</v>
      </c>
      <c r="AC134" s="13">
        <v>19045</v>
      </c>
      <c r="AD134" s="86">
        <v>11794</v>
      </c>
      <c r="AE134" s="86">
        <v>11794</v>
      </c>
      <c r="AF134" s="71" t="s">
        <v>706</v>
      </c>
      <c r="AG134" s="23" t="s">
        <v>1758</v>
      </c>
      <c r="AH134" s="23" t="s">
        <v>1759</v>
      </c>
      <c r="AI134" s="70" t="s">
        <v>94</v>
      </c>
      <c r="AJ134" s="17" t="s">
        <v>94</v>
      </c>
      <c r="AK134" s="23" t="s">
        <v>95</v>
      </c>
      <c r="AL134" s="23" t="s">
        <v>1760</v>
      </c>
      <c r="AM134" s="23" t="s">
        <v>94</v>
      </c>
      <c r="AN134" s="23" t="s">
        <v>1761</v>
      </c>
      <c r="AO134" s="17" t="s">
        <v>98</v>
      </c>
      <c r="AP134" s="17" t="s">
        <v>98</v>
      </c>
      <c r="AQ134" s="17" t="s">
        <v>98</v>
      </c>
      <c r="AR134" s="23" t="s">
        <v>94</v>
      </c>
      <c r="AS134" s="23" t="s">
        <v>1762</v>
      </c>
      <c r="AT134" s="17"/>
      <c r="AU134" s="30" t="s">
        <v>1763</v>
      </c>
      <c r="AV134" s="14">
        <v>2631</v>
      </c>
      <c r="AW134" s="74"/>
      <c r="AX134" s="1" t="s">
        <v>1764</v>
      </c>
      <c r="AY134" s="17" t="s">
        <v>101</v>
      </c>
    </row>
    <row r="135" spans="1:51" ht="12.75" customHeight="1" x14ac:dyDescent="0.25">
      <c r="A135" s="5">
        <v>134</v>
      </c>
      <c r="B135" s="9">
        <v>134</v>
      </c>
      <c r="C135" s="9" t="s">
        <v>1765</v>
      </c>
      <c r="D135" s="57" t="str">
        <f>HYPERLINK("http://prodenv.dep.state.fl.us/DepNexus/public/electronic-documents/OG_134/facility!search","OG_134_Docs")</f>
        <v>OG_134_Docs</v>
      </c>
      <c r="E135" s="57" t="str">
        <f>HYPERLINK("https://ca.dep.state.fl.us/mapdirect/?focus=oilandgas&amp;zoom=query&amp;querytype=oilandgas&amp;queryvalues=OG_134","OG_134_Map")</f>
        <v>OG_134_Map</v>
      </c>
      <c r="F135" s="1" t="s">
        <v>265</v>
      </c>
      <c r="G135" s="1" t="s">
        <v>79</v>
      </c>
      <c r="H135" s="1" t="s">
        <v>176</v>
      </c>
      <c r="I135" s="1" t="s">
        <v>1766</v>
      </c>
      <c r="J135" s="17" t="s">
        <v>82</v>
      </c>
      <c r="K135" s="17" t="s">
        <v>83</v>
      </c>
      <c r="L135" s="17"/>
      <c r="M135" s="17"/>
      <c r="N135" s="52" t="s">
        <v>130</v>
      </c>
      <c r="O135" s="17" t="s">
        <v>270</v>
      </c>
      <c r="P135" s="17" t="s">
        <v>86</v>
      </c>
      <c r="Q135" s="81" t="s">
        <v>1767</v>
      </c>
      <c r="R135" s="11">
        <v>26.067316000000002</v>
      </c>
      <c r="S135" s="11">
        <v>-81.694789</v>
      </c>
      <c r="T135" s="11" t="s">
        <v>1768</v>
      </c>
      <c r="U135" s="11" t="s">
        <v>1769</v>
      </c>
      <c r="V135" s="17" t="s">
        <v>1770</v>
      </c>
      <c r="W135" s="17" t="s">
        <v>110</v>
      </c>
      <c r="X135" s="70">
        <v>21</v>
      </c>
      <c r="Y135" s="70">
        <v>9.5</v>
      </c>
      <c r="Z135" s="13">
        <v>19029</v>
      </c>
      <c r="AA135" s="13">
        <v>19063</v>
      </c>
      <c r="AB135" s="13">
        <v>19131</v>
      </c>
      <c r="AC135" s="13">
        <v>19131</v>
      </c>
      <c r="AD135" s="86">
        <v>5900</v>
      </c>
      <c r="AE135" s="86">
        <v>5900</v>
      </c>
      <c r="AF135" s="71" t="s">
        <v>1771</v>
      </c>
      <c r="AG135" s="23" t="s">
        <v>1772</v>
      </c>
      <c r="AH135" s="23" t="s">
        <v>1773</v>
      </c>
      <c r="AI135" s="70" t="s">
        <v>94</v>
      </c>
      <c r="AJ135" s="17" t="s">
        <v>94</v>
      </c>
      <c r="AK135" s="23" t="s">
        <v>95</v>
      </c>
      <c r="AL135" s="23" t="s">
        <v>94</v>
      </c>
      <c r="AM135" s="23" t="s">
        <v>94</v>
      </c>
      <c r="AN135" s="23" t="s">
        <v>1774</v>
      </c>
      <c r="AO135" s="17" t="s">
        <v>98</v>
      </c>
      <c r="AP135" s="17" t="s">
        <v>98</v>
      </c>
      <c r="AQ135" s="17" t="s">
        <v>98</v>
      </c>
      <c r="AR135" s="23" t="s">
        <v>94</v>
      </c>
      <c r="AS135" s="23" t="s">
        <v>1775</v>
      </c>
      <c r="AT135" s="17"/>
      <c r="AU135" s="30" t="s">
        <v>1776</v>
      </c>
      <c r="AV135" s="14">
        <v>2686</v>
      </c>
      <c r="AW135" s="74"/>
      <c r="AX135" s="1"/>
      <c r="AY135" s="17" t="s">
        <v>101</v>
      </c>
    </row>
    <row r="136" spans="1:51" ht="12.75" customHeight="1" x14ac:dyDescent="0.25">
      <c r="A136" s="5">
        <v>135</v>
      </c>
      <c r="B136" s="9">
        <v>135</v>
      </c>
      <c r="C136" s="9" t="s">
        <v>1777</v>
      </c>
      <c r="D136" s="57" t="str">
        <f>HYPERLINK("http://prodenv.dep.state.fl.us/DepNexus/public/electronic-documents/OG_135/facility!search","OG_135_Docs")</f>
        <v>OG_135_Docs</v>
      </c>
      <c r="E136" s="57" t="str">
        <f>HYPERLINK("https://ca.dep.state.fl.us/mapdirect/?focus=oilandgas&amp;zoom=query&amp;querytype=oilandgas&amp;queryvalues=OG_135","OG_135_Map")</f>
        <v>OG_135_Map</v>
      </c>
      <c r="F136" s="1" t="s">
        <v>1682</v>
      </c>
      <c r="G136" s="1" t="s">
        <v>79</v>
      </c>
      <c r="H136" s="1" t="s">
        <v>1778</v>
      </c>
      <c r="I136" s="1" t="s">
        <v>1779</v>
      </c>
      <c r="J136" s="17" t="s">
        <v>82</v>
      </c>
      <c r="K136" s="17" t="s">
        <v>83</v>
      </c>
      <c r="L136" s="17"/>
      <c r="M136" s="17"/>
      <c r="N136" s="52" t="s">
        <v>130</v>
      </c>
      <c r="O136" s="17" t="s">
        <v>86</v>
      </c>
      <c r="P136" s="17" t="s">
        <v>86</v>
      </c>
      <c r="Q136" s="81" t="s">
        <v>1780</v>
      </c>
      <c r="R136" s="11">
        <v>30.892641999999999</v>
      </c>
      <c r="S136" s="11">
        <v>-87.431625999999994</v>
      </c>
      <c r="T136" s="11" t="s">
        <v>1781</v>
      </c>
      <c r="U136" s="11" t="s">
        <v>1782</v>
      </c>
      <c r="V136" s="17" t="s">
        <v>1783</v>
      </c>
      <c r="W136" s="17" t="s">
        <v>110</v>
      </c>
      <c r="X136" s="70">
        <v>260</v>
      </c>
      <c r="Y136" s="71"/>
      <c r="Z136" s="13">
        <v>19085</v>
      </c>
      <c r="AA136" s="13">
        <v>19121</v>
      </c>
      <c r="AB136" s="13">
        <v>19136</v>
      </c>
      <c r="AC136" s="13">
        <v>19136</v>
      </c>
      <c r="AD136" s="86">
        <v>7006</v>
      </c>
      <c r="AE136" s="86">
        <v>7006</v>
      </c>
      <c r="AF136" s="71" t="s">
        <v>94</v>
      </c>
      <c r="AG136" s="23" t="s">
        <v>1784</v>
      </c>
      <c r="AH136" s="17" t="s">
        <v>94</v>
      </c>
      <c r="AI136" s="70" t="s">
        <v>94</v>
      </c>
      <c r="AJ136" s="17" t="s">
        <v>94</v>
      </c>
      <c r="AK136" s="23" t="s">
        <v>95</v>
      </c>
      <c r="AL136" s="23" t="s">
        <v>94</v>
      </c>
      <c r="AM136" s="23" t="s">
        <v>94</v>
      </c>
      <c r="AN136" s="23" t="s">
        <v>94</v>
      </c>
      <c r="AO136" s="17" t="s">
        <v>98</v>
      </c>
      <c r="AP136" s="17" t="s">
        <v>98</v>
      </c>
      <c r="AQ136" s="17" t="s">
        <v>98</v>
      </c>
      <c r="AR136" s="23" t="s">
        <v>94</v>
      </c>
      <c r="AS136" s="23" t="s">
        <v>1785</v>
      </c>
      <c r="AT136" s="17"/>
      <c r="AU136" s="30" t="s">
        <v>1786</v>
      </c>
      <c r="AV136" s="14">
        <v>2632</v>
      </c>
      <c r="AW136" s="74"/>
      <c r="AX136" s="1"/>
      <c r="AY136" s="17" t="s">
        <v>101</v>
      </c>
    </row>
    <row r="137" spans="1:51" ht="12.75" customHeight="1" x14ac:dyDescent="0.25">
      <c r="A137" s="5">
        <v>136</v>
      </c>
      <c r="B137" s="9">
        <v>136</v>
      </c>
      <c r="C137" s="9" t="s">
        <v>1787</v>
      </c>
      <c r="D137" s="57" t="str">
        <f>HYPERLINK("http://prodenv.dep.state.fl.us/DepNexus/public/electronic-documents/OG_136/facility!search","OG_136_Docs")</f>
        <v>OG_136_Docs</v>
      </c>
      <c r="E137" s="57" t="str">
        <f>HYPERLINK("https://ca.dep.state.fl.us/mapdirect/?focus=oilandgas&amp;zoom=query&amp;querytype=oilandgas&amp;queryvalues=OG_136","OG_136_Map")</f>
        <v>OG_136_Map</v>
      </c>
      <c r="F137" s="1" t="s">
        <v>265</v>
      </c>
      <c r="G137" s="1" t="s">
        <v>79</v>
      </c>
      <c r="H137" s="1" t="s">
        <v>176</v>
      </c>
      <c r="I137" s="1" t="s">
        <v>1788</v>
      </c>
      <c r="J137" s="17" t="s">
        <v>82</v>
      </c>
      <c r="K137" s="17" t="s">
        <v>83</v>
      </c>
      <c r="L137" s="17"/>
      <c r="M137" s="17"/>
      <c r="N137" s="52" t="s">
        <v>86</v>
      </c>
      <c r="O137" s="17" t="s">
        <v>270</v>
      </c>
      <c r="P137" s="17" t="s">
        <v>86</v>
      </c>
      <c r="Q137" s="81" t="s">
        <v>1767</v>
      </c>
      <c r="R137" s="11">
        <v>26.067164999999999</v>
      </c>
      <c r="S137" s="11">
        <v>-81.694790999999995</v>
      </c>
      <c r="T137" s="11" t="s">
        <v>1789</v>
      </c>
      <c r="U137" s="11" t="s">
        <v>1790</v>
      </c>
      <c r="V137" s="17" t="s">
        <v>1791</v>
      </c>
      <c r="W137" s="17" t="s">
        <v>110</v>
      </c>
      <c r="X137" s="70">
        <v>21</v>
      </c>
      <c r="Y137" s="70">
        <v>9.3000000000000007</v>
      </c>
      <c r="Z137" s="13">
        <v>19142</v>
      </c>
      <c r="AA137" s="13">
        <v>19135</v>
      </c>
      <c r="AB137" s="13">
        <v>19145</v>
      </c>
      <c r="AC137" s="13">
        <v>19145</v>
      </c>
      <c r="AD137" s="86">
        <v>2515</v>
      </c>
      <c r="AE137" s="86">
        <v>2515</v>
      </c>
      <c r="AF137" s="71" t="s">
        <v>1792</v>
      </c>
      <c r="AG137" s="23" t="s">
        <v>1793</v>
      </c>
      <c r="AH137" s="17" t="s">
        <v>94</v>
      </c>
      <c r="AI137" s="70" t="s">
        <v>94</v>
      </c>
      <c r="AJ137" s="17" t="s">
        <v>94</v>
      </c>
      <c r="AK137" s="23" t="s">
        <v>95</v>
      </c>
      <c r="AL137" s="23" t="s">
        <v>94</v>
      </c>
      <c r="AM137" s="23" t="s">
        <v>94</v>
      </c>
      <c r="AN137" s="23" t="s">
        <v>94</v>
      </c>
      <c r="AO137" s="17" t="s">
        <v>98</v>
      </c>
      <c r="AP137" s="17" t="s">
        <v>98</v>
      </c>
      <c r="AQ137" s="17" t="s">
        <v>98</v>
      </c>
      <c r="AR137" s="23" t="s">
        <v>94</v>
      </c>
      <c r="AS137" s="23" t="s">
        <v>1794</v>
      </c>
      <c r="AT137" s="17"/>
      <c r="AU137" s="30" t="s">
        <v>1795</v>
      </c>
      <c r="AV137" s="14">
        <v>2678</v>
      </c>
      <c r="AW137" s="74"/>
      <c r="AX137" s="1"/>
      <c r="AY137" s="17" t="s">
        <v>101</v>
      </c>
    </row>
    <row r="138" spans="1:51" ht="12.75" customHeight="1" x14ac:dyDescent="0.25">
      <c r="A138" s="5">
        <v>137</v>
      </c>
      <c r="B138" s="9">
        <v>137</v>
      </c>
      <c r="C138" s="9" t="s">
        <v>1796</v>
      </c>
      <c r="D138" s="57" t="str">
        <f>HYPERLINK("http://prodenv.dep.state.fl.us/DepNexus/public/electronic-documents/OG_137/facility!search","OG_137_Docs")</f>
        <v>OG_137_Docs</v>
      </c>
      <c r="E138" s="57" t="str">
        <f>HYPERLINK("https://ca.dep.state.fl.us/mapdirect/?focus=oilandgas&amp;zoom=query&amp;querytype=oilandgas&amp;queryvalues=OG_137","OG_137_Map")</f>
        <v>OG_137_Map</v>
      </c>
      <c r="F138" s="1" t="s">
        <v>1797</v>
      </c>
      <c r="G138" s="1" t="s">
        <v>1798</v>
      </c>
      <c r="H138" s="1" t="s">
        <v>1778</v>
      </c>
      <c r="I138" s="1" t="s">
        <v>1799</v>
      </c>
      <c r="J138" s="17" t="s">
        <v>82</v>
      </c>
      <c r="K138" s="17" t="s">
        <v>83</v>
      </c>
      <c r="L138" s="17"/>
      <c r="M138" s="17"/>
      <c r="N138" s="52" t="s">
        <v>130</v>
      </c>
      <c r="O138" s="17" t="s">
        <v>86</v>
      </c>
      <c r="P138" s="17" t="s">
        <v>86</v>
      </c>
      <c r="Q138" s="81" t="s">
        <v>1800</v>
      </c>
      <c r="R138" s="11">
        <v>30.976431000000002</v>
      </c>
      <c r="S138" s="11">
        <v>-87.131826000000004</v>
      </c>
      <c r="T138" s="11" t="s">
        <v>1801</v>
      </c>
      <c r="U138" s="11" t="s">
        <v>1802</v>
      </c>
      <c r="V138" s="17" t="s">
        <v>976</v>
      </c>
      <c r="W138" s="17" t="s">
        <v>110</v>
      </c>
      <c r="X138" s="70">
        <v>258</v>
      </c>
      <c r="Y138" s="70">
        <v>250.97</v>
      </c>
      <c r="Z138" s="13">
        <v>19155</v>
      </c>
      <c r="AA138" s="13">
        <v>19148</v>
      </c>
      <c r="AB138" s="13">
        <v>19164</v>
      </c>
      <c r="AC138" s="13">
        <v>19164</v>
      </c>
      <c r="AD138" s="86">
        <v>6770</v>
      </c>
      <c r="AE138" s="86">
        <v>6770</v>
      </c>
      <c r="AF138" s="71" t="s">
        <v>94</v>
      </c>
      <c r="AG138" s="23" t="s">
        <v>1803</v>
      </c>
      <c r="AH138" s="17" t="s">
        <v>94</v>
      </c>
      <c r="AI138" s="70" t="s">
        <v>94</v>
      </c>
      <c r="AJ138" s="17" t="s">
        <v>94</v>
      </c>
      <c r="AK138" s="17" t="s">
        <v>95</v>
      </c>
      <c r="AL138" s="23" t="s">
        <v>94</v>
      </c>
      <c r="AM138" s="23" t="s">
        <v>94</v>
      </c>
      <c r="AN138" s="23" t="s">
        <v>94</v>
      </c>
      <c r="AO138" s="17" t="s">
        <v>98</v>
      </c>
      <c r="AP138" s="17" t="s">
        <v>98</v>
      </c>
      <c r="AQ138" s="17" t="s">
        <v>98</v>
      </c>
      <c r="AR138" s="23" t="s">
        <v>94</v>
      </c>
      <c r="AS138" s="23" t="s">
        <v>1804</v>
      </c>
      <c r="AT138" s="17"/>
      <c r="AU138" s="30" t="s">
        <v>1805</v>
      </c>
      <c r="AV138" s="14">
        <v>2679</v>
      </c>
      <c r="AW138" s="74"/>
      <c r="AX138" s="1"/>
      <c r="AY138" s="17" t="s">
        <v>101</v>
      </c>
    </row>
    <row r="139" spans="1:51" ht="12.75" customHeight="1" x14ac:dyDescent="0.25">
      <c r="A139" s="5">
        <v>138</v>
      </c>
      <c r="B139" s="9">
        <v>138</v>
      </c>
      <c r="C139" s="9" t="s">
        <v>1806</v>
      </c>
      <c r="D139" s="57" t="str">
        <f>HYPERLINK("http://prodenv.dep.state.fl.us/DepNexus/public/electronic-documents/OG_138/facility!search","OG_138_Docs")</f>
        <v>OG_138_Docs</v>
      </c>
      <c r="E139" s="57" t="str">
        <f>HYPERLINK("https://ca.dep.state.fl.us/mapdirect/?focus=oilandgas&amp;zoom=query&amp;querytype=oilandgas&amp;queryvalues=OG_138","OG_138_Map")</f>
        <v>OG_138_Map</v>
      </c>
      <c r="F139" s="1" t="s">
        <v>191</v>
      </c>
      <c r="G139" s="1" t="s">
        <v>79</v>
      </c>
      <c r="H139" s="1" t="s">
        <v>176</v>
      </c>
      <c r="I139" s="1" t="s">
        <v>1807</v>
      </c>
      <c r="J139" s="17" t="s">
        <v>82</v>
      </c>
      <c r="K139" s="17" t="s">
        <v>83</v>
      </c>
      <c r="L139" s="17"/>
      <c r="M139" s="17"/>
      <c r="N139" s="52" t="s">
        <v>130</v>
      </c>
      <c r="O139" s="17" t="s">
        <v>86</v>
      </c>
      <c r="P139" s="17" t="s">
        <v>86</v>
      </c>
      <c r="Q139" s="81" t="s">
        <v>1808</v>
      </c>
      <c r="R139" s="11">
        <v>29.936330999999999</v>
      </c>
      <c r="S139" s="11">
        <v>-84.737606</v>
      </c>
      <c r="T139" s="11" t="s">
        <v>1809</v>
      </c>
      <c r="U139" s="11" t="s">
        <v>1810</v>
      </c>
      <c r="V139" s="17" t="s">
        <v>1811</v>
      </c>
      <c r="W139" s="17" t="s">
        <v>110</v>
      </c>
      <c r="X139" s="70"/>
      <c r="Y139" s="70"/>
      <c r="Z139" s="13">
        <v>19162</v>
      </c>
      <c r="AA139" s="13">
        <v>19301</v>
      </c>
      <c r="AB139" s="13">
        <v>19406</v>
      </c>
      <c r="AC139" s="13">
        <v>19406</v>
      </c>
      <c r="AD139" s="86">
        <v>4736</v>
      </c>
      <c r="AE139" s="86">
        <v>4736</v>
      </c>
      <c r="AF139" s="70" t="s">
        <v>1812</v>
      </c>
      <c r="AG139" s="17" t="s">
        <v>1813</v>
      </c>
      <c r="AH139" s="17" t="s">
        <v>1814</v>
      </c>
      <c r="AI139" s="71" t="s">
        <v>1815</v>
      </c>
      <c r="AJ139" s="17" t="s">
        <v>94</v>
      </c>
      <c r="AK139" s="17" t="s">
        <v>95</v>
      </c>
      <c r="AL139" s="23" t="s">
        <v>1816</v>
      </c>
      <c r="AM139" s="17" t="s">
        <v>94</v>
      </c>
      <c r="AN139" s="17" t="s">
        <v>1817</v>
      </c>
      <c r="AO139" s="17" t="s">
        <v>98</v>
      </c>
      <c r="AP139" s="17" t="s">
        <v>98</v>
      </c>
      <c r="AQ139" s="17" t="s">
        <v>98</v>
      </c>
      <c r="AR139" s="17" t="s">
        <v>94</v>
      </c>
      <c r="AS139" s="23" t="s">
        <v>1818</v>
      </c>
      <c r="AT139" s="17">
        <v>122</v>
      </c>
      <c r="AU139" s="30" t="s">
        <v>1819</v>
      </c>
      <c r="AV139" s="14">
        <v>2881</v>
      </c>
      <c r="AW139" s="74"/>
      <c r="AX139" s="1"/>
      <c r="AY139" s="17" t="s">
        <v>101</v>
      </c>
    </row>
    <row r="140" spans="1:51" ht="12.75" customHeight="1" x14ac:dyDescent="0.25">
      <c r="A140" s="5">
        <v>139</v>
      </c>
      <c r="B140" s="9">
        <v>139</v>
      </c>
      <c r="C140" s="9" t="s">
        <v>1820</v>
      </c>
      <c r="D140" s="57" t="str">
        <f>HYPERLINK("http://prodenv.dep.state.fl.us/DepNexus/public/electronic-documents/OG_139/facility!search","OG_139_Docs")</f>
        <v>OG_139_Docs</v>
      </c>
      <c r="E140" s="57" t="str">
        <f>HYPERLINK("https://ca.dep.state.fl.us/mapdirect/?focus=oilandgas&amp;zoom=query&amp;querytype=oilandgas&amp;queryvalues=OG_139","OG_139_Map")</f>
        <v>OG_139_Map</v>
      </c>
      <c r="F140" s="1" t="s">
        <v>634</v>
      </c>
      <c r="G140" s="1" t="s">
        <v>79</v>
      </c>
      <c r="H140" s="1" t="s">
        <v>176</v>
      </c>
      <c r="I140" s="1" t="s">
        <v>1821</v>
      </c>
      <c r="J140" s="17" t="s">
        <v>207</v>
      </c>
      <c r="K140" s="17" t="s">
        <v>208</v>
      </c>
      <c r="L140" s="17"/>
      <c r="M140" s="17" t="s">
        <v>207</v>
      </c>
      <c r="N140" s="52" t="s">
        <v>86</v>
      </c>
      <c r="O140" s="17" t="s">
        <v>86</v>
      </c>
      <c r="P140" s="17" t="s">
        <v>86</v>
      </c>
      <c r="Q140" s="81" t="s">
        <v>1822</v>
      </c>
      <c r="R140" s="11">
        <v>30.273575000000001</v>
      </c>
      <c r="S140" s="11">
        <v>-83.116522000000003</v>
      </c>
      <c r="T140" s="11" t="s">
        <v>1823</v>
      </c>
      <c r="U140" s="11" t="s">
        <v>1824</v>
      </c>
      <c r="V140" s="17" t="s">
        <v>1825</v>
      </c>
      <c r="W140" s="17" t="s">
        <v>110</v>
      </c>
      <c r="X140" s="70"/>
      <c r="Y140" s="70"/>
      <c r="Z140" s="13">
        <v>19162</v>
      </c>
      <c r="AA140" s="13"/>
      <c r="AB140" s="13"/>
      <c r="AC140" s="13"/>
      <c r="AD140" s="86"/>
      <c r="AE140" s="70"/>
      <c r="AF140" s="70" t="s">
        <v>207</v>
      </c>
      <c r="AG140" s="14" t="s">
        <v>207</v>
      </c>
      <c r="AH140" s="14" t="s">
        <v>207</v>
      </c>
      <c r="AI140" s="70" t="s">
        <v>207</v>
      </c>
      <c r="AJ140" s="14" t="s">
        <v>207</v>
      </c>
      <c r="AK140" s="14" t="s">
        <v>207</v>
      </c>
      <c r="AL140" s="14" t="s">
        <v>207</v>
      </c>
      <c r="AM140" s="14" t="s">
        <v>207</v>
      </c>
      <c r="AN140" s="14" t="s">
        <v>207</v>
      </c>
      <c r="AO140" s="14" t="s">
        <v>207</v>
      </c>
      <c r="AP140" s="14" t="s">
        <v>207</v>
      </c>
      <c r="AQ140" s="14" t="s">
        <v>207</v>
      </c>
      <c r="AR140" s="27" t="s">
        <v>207</v>
      </c>
      <c r="AS140" s="14" t="s">
        <v>207</v>
      </c>
      <c r="AT140" s="17"/>
      <c r="AU140" s="32" t="s">
        <v>1826</v>
      </c>
      <c r="AV140" s="14" t="s">
        <v>207</v>
      </c>
      <c r="AW140" s="74"/>
      <c r="AX140" s="1"/>
      <c r="AY140" s="17" t="s">
        <v>101</v>
      </c>
    </row>
    <row r="141" spans="1:51" ht="12.75" customHeight="1" x14ac:dyDescent="0.25">
      <c r="A141" s="5">
        <v>140</v>
      </c>
      <c r="B141" s="9">
        <v>140</v>
      </c>
      <c r="C141" s="9" t="s">
        <v>1827</v>
      </c>
      <c r="D141" s="57" t="str">
        <f>HYPERLINK("http://prodenv.dep.state.fl.us/DepNexus/public/electronic-documents/OG_140/facility!search","OG_140_Docs")</f>
        <v>OG_140_Docs</v>
      </c>
      <c r="E141" s="57" t="str">
        <f>HYPERLINK("https://ca.dep.state.fl.us/mapdirect/?focus=oilandgas&amp;zoom=query&amp;querytype=oilandgas&amp;queryvalues=OG_140","OG_140_Map")</f>
        <v>OG_140_Map</v>
      </c>
      <c r="F141" s="1" t="s">
        <v>1797</v>
      </c>
      <c r="G141" s="1" t="s">
        <v>79</v>
      </c>
      <c r="H141" s="1" t="s">
        <v>1778</v>
      </c>
      <c r="I141" s="1" t="s">
        <v>1828</v>
      </c>
      <c r="J141" s="17" t="s">
        <v>82</v>
      </c>
      <c r="K141" s="17" t="s">
        <v>83</v>
      </c>
      <c r="L141" s="17"/>
      <c r="M141" s="17"/>
      <c r="N141" s="52" t="s">
        <v>130</v>
      </c>
      <c r="O141" s="17" t="s">
        <v>86</v>
      </c>
      <c r="P141" s="17" t="s">
        <v>86</v>
      </c>
      <c r="Q141" s="81" t="s">
        <v>1829</v>
      </c>
      <c r="R141" s="11">
        <v>30.928965000000002</v>
      </c>
      <c r="S141" s="11">
        <v>-87.124523999999994</v>
      </c>
      <c r="T141" s="11" t="s">
        <v>1830</v>
      </c>
      <c r="U141" s="11" t="s">
        <v>1831</v>
      </c>
      <c r="V141" s="17" t="s">
        <v>1811</v>
      </c>
      <c r="W141" s="17" t="s">
        <v>110</v>
      </c>
      <c r="X141" s="70">
        <v>260</v>
      </c>
      <c r="Y141" s="70">
        <v>249.97</v>
      </c>
      <c r="Z141" s="13">
        <v>19176</v>
      </c>
      <c r="AA141" s="13">
        <v>19167</v>
      </c>
      <c r="AB141" s="13">
        <v>19181</v>
      </c>
      <c r="AC141" s="13">
        <v>19181</v>
      </c>
      <c r="AD141" s="86">
        <v>7065</v>
      </c>
      <c r="AE141" s="86">
        <v>7065</v>
      </c>
      <c r="AF141" s="71" t="s">
        <v>94</v>
      </c>
      <c r="AG141" s="23" t="s">
        <v>1832</v>
      </c>
      <c r="AH141" s="23" t="s">
        <v>94</v>
      </c>
      <c r="AI141" s="71" t="s">
        <v>94</v>
      </c>
      <c r="AJ141" s="23" t="s">
        <v>94</v>
      </c>
      <c r="AK141" s="23" t="s">
        <v>95</v>
      </c>
      <c r="AL141" s="23" t="s">
        <v>1833</v>
      </c>
      <c r="AM141" s="23" t="s">
        <v>94</v>
      </c>
      <c r="AN141" s="23" t="s">
        <v>94</v>
      </c>
      <c r="AO141" s="17" t="s">
        <v>98</v>
      </c>
      <c r="AP141" s="17" t="s">
        <v>98</v>
      </c>
      <c r="AQ141" s="17" t="s">
        <v>98</v>
      </c>
      <c r="AR141" s="23" t="s">
        <v>94</v>
      </c>
      <c r="AS141" s="23" t="s">
        <v>1834</v>
      </c>
      <c r="AT141" s="17"/>
      <c r="AU141" s="30" t="s">
        <v>1835</v>
      </c>
      <c r="AV141" s="14">
        <v>2694</v>
      </c>
      <c r="AW141" s="74"/>
      <c r="AX141" s="1"/>
      <c r="AY141" s="17" t="s">
        <v>101</v>
      </c>
    </row>
    <row r="142" spans="1:51" ht="12.75" customHeight="1" x14ac:dyDescent="0.25">
      <c r="A142" s="5">
        <v>141</v>
      </c>
      <c r="B142" s="9">
        <v>141</v>
      </c>
      <c r="C142" s="9" t="s">
        <v>1836</v>
      </c>
      <c r="D142" s="57" t="str">
        <f>HYPERLINK("http://prodenv.dep.state.fl.us/DepNexus/public/electronic-documents/OG_141/facility!search","OG_141_Docs")</f>
        <v>OG_141_Docs</v>
      </c>
      <c r="E142" s="57" t="str">
        <f>HYPERLINK("https://ca.dep.state.fl.us/mapdirect/?focus=oilandgas&amp;zoom=query&amp;querytype=oilandgas&amp;queryvalues=OG_141","OG_141_Map")</f>
        <v>OG_141_Map</v>
      </c>
      <c r="F142" s="1" t="s">
        <v>1837</v>
      </c>
      <c r="G142" s="1" t="s">
        <v>79</v>
      </c>
      <c r="H142" s="1" t="s">
        <v>909</v>
      </c>
      <c r="I142" s="1" t="s">
        <v>1838</v>
      </c>
      <c r="J142" s="17" t="s">
        <v>207</v>
      </c>
      <c r="K142" s="17" t="s">
        <v>208</v>
      </c>
      <c r="L142" s="17"/>
      <c r="M142" s="17" t="s">
        <v>207</v>
      </c>
      <c r="N142" s="52" t="s">
        <v>86</v>
      </c>
      <c r="O142" s="17" t="s">
        <v>86</v>
      </c>
      <c r="P142" s="17" t="s">
        <v>86</v>
      </c>
      <c r="Q142" s="81" t="s">
        <v>1839</v>
      </c>
      <c r="R142" s="11">
        <v>26.78614</v>
      </c>
      <c r="S142" s="11">
        <v>-80.963313999999997</v>
      </c>
      <c r="T142" s="11" t="s">
        <v>1840</v>
      </c>
      <c r="U142" s="11" t="s">
        <v>1841</v>
      </c>
      <c r="V142" s="17" t="s">
        <v>1842</v>
      </c>
      <c r="W142" s="17" t="s">
        <v>110</v>
      </c>
      <c r="X142" s="70"/>
      <c r="Y142" s="70"/>
      <c r="Z142" s="13">
        <v>19162</v>
      </c>
      <c r="AA142" s="13"/>
      <c r="AB142" s="13"/>
      <c r="AC142" s="13"/>
      <c r="AD142" s="86"/>
      <c r="AE142" s="70"/>
      <c r="AF142" s="70" t="s">
        <v>207</v>
      </c>
      <c r="AG142" s="14" t="s">
        <v>207</v>
      </c>
      <c r="AH142" s="14" t="s">
        <v>207</v>
      </c>
      <c r="AI142" s="70" t="s">
        <v>207</v>
      </c>
      <c r="AJ142" s="14" t="s">
        <v>207</v>
      </c>
      <c r="AK142" s="14" t="s">
        <v>207</v>
      </c>
      <c r="AL142" s="14" t="s">
        <v>207</v>
      </c>
      <c r="AM142" s="14" t="s">
        <v>207</v>
      </c>
      <c r="AN142" s="14" t="s">
        <v>207</v>
      </c>
      <c r="AO142" s="14" t="s">
        <v>207</v>
      </c>
      <c r="AP142" s="14" t="s">
        <v>207</v>
      </c>
      <c r="AQ142" s="14" t="s">
        <v>207</v>
      </c>
      <c r="AR142" s="14" t="s">
        <v>207</v>
      </c>
      <c r="AS142" s="14" t="s">
        <v>207</v>
      </c>
      <c r="AT142" s="14" t="s">
        <v>207</v>
      </c>
      <c r="AU142" s="30" t="s">
        <v>1843</v>
      </c>
      <c r="AV142" s="14" t="s">
        <v>207</v>
      </c>
      <c r="AW142" s="74"/>
      <c r="AX142" s="1"/>
      <c r="AY142" s="17" t="s">
        <v>101</v>
      </c>
    </row>
    <row r="143" spans="1:51" ht="12.75" customHeight="1" x14ac:dyDescent="0.25">
      <c r="A143" s="5">
        <v>142</v>
      </c>
      <c r="B143" s="9">
        <v>142</v>
      </c>
      <c r="C143" s="9" t="s">
        <v>1844</v>
      </c>
      <c r="D143" s="57" t="str">
        <f>HYPERLINK("http://prodenv.dep.state.fl.us/DepNexus/public/electronic-documents/OG_142/facility!search","OG_142_Docs")</f>
        <v>OG_142_Docs</v>
      </c>
      <c r="E143" s="57" t="str">
        <f>HYPERLINK("https://ca.dep.state.fl.us/mapdirect/?focus=oilandgas&amp;zoom=query&amp;querytype=oilandgas&amp;queryvalues=OG_142","OG_142_Map")</f>
        <v>OG_142_Map</v>
      </c>
      <c r="F143" s="1" t="s">
        <v>314</v>
      </c>
      <c r="G143" s="1" t="s">
        <v>79</v>
      </c>
      <c r="H143" s="1" t="s">
        <v>1845</v>
      </c>
      <c r="I143" s="1" t="s">
        <v>316</v>
      </c>
      <c r="J143" s="17" t="s">
        <v>82</v>
      </c>
      <c r="K143" s="17" t="s">
        <v>83</v>
      </c>
      <c r="L143" s="17"/>
      <c r="M143" s="17" t="s">
        <v>101</v>
      </c>
      <c r="N143" s="52" t="s">
        <v>130</v>
      </c>
      <c r="O143" s="17" t="s">
        <v>86</v>
      </c>
      <c r="P143" s="17" t="s">
        <v>86</v>
      </c>
      <c r="Q143" s="81" t="s">
        <v>1846</v>
      </c>
      <c r="R143" s="11">
        <v>30.480242000000001</v>
      </c>
      <c r="S143" s="11">
        <v>-85.934854999999999</v>
      </c>
      <c r="T143" s="11" t="s">
        <v>1847</v>
      </c>
      <c r="U143" s="11" t="s">
        <v>1848</v>
      </c>
      <c r="V143" s="17" t="s">
        <v>976</v>
      </c>
      <c r="W143" s="17" t="s">
        <v>110</v>
      </c>
      <c r="X143" s="70">
        <v>51</v>
      </c>
      <c r="Y143" s="70">
        <v>41</v>
      </c>
      <c r="Z143" s="13">
        <v>19197</v>
      </c>
      <c r="AA143" s="13">
        <v>19195</v>
      </c>
      <c r="AB143" s="13">
        <v>19204</v>
      </c>
      <c r="AC143" s="13">
        <v>19204</v>
      </c>
      <c r="AD143" s="86">
        <v>5202</v>
      </c>
      <c r="AE143" s="86">
        <v>5202</v>
      </c>
      <c r="AF143" s="70" t="s">
        <v>94</v>
      </c>
      <c r="AG143" s="23" t="s">
        <v>1712</v>
      </c>
      <c r="AH143" s="17" t="s">
        <v>94</v>
      </c>
      <c r="AI143" s="70" t="s">
        <v>94</v>
      </c>
      <c r="AJ143" s="17" t="s">
        <v>94</v>
      </c>
      <c r="AK143" s="17" t="s">
        <v>95</v>
      </c>
      <c r="AL143" s="17" t="s">
        <v>1849</v>
      </c>
      <c r="AM143" s="17" t="s">
        <v>94</v>
      </c>
      <c r="AN143" s="17" t="s">
        <v>94</v>
      </c>
      <c r="AO143" s="17" t="s">
        <v>98</v>
      </c>
      <c r="AP143" s="17" t="s">
        <v>98</v>
      </c>
      <c r="AQ143" s="17" t="s">
        <v>98</v>
      </c>
      <c r="AR143" s="17" t="s">
        <v>94</v>
      </c>
      <c r="AS143" s="17" t="s">
        <v>1850</v>
      </c>
      <c r="AT143" s="17">
        <v>121</v>
      </c>
      <c r="AU143" s="30" t="s">
        <v>1851</v>
      </c>
      <c r="AV143" s="14">
        <v>2725</v>
      </c>
      <c r="AW143" s="74"/>
      <c r="AX143" s="1"/>
      <c r="AY143" s="17" t="s">
        <v>101</v>
      </c>
    </row>
    <row r="144" spans="1:51" ht="12.75" customHeight="1" x14ac:dyDescent="0.25">
      <c r="A144" s="5">
        <v>143</v>
      </c>
      <c r="B144" s="9">
        <v>143</v>
      </c>
      <c r="C144" s="9" t="s">
        <v>1852</v>
      </c>
      <c r="D144" s="57" t="str">
        <f>HYPERLINK("http://prodenv.dep.state.fl.us/DepNexus/public/electronic-documents/OG_143/facility!search","OG_143_Docs")</f>
        <v>OG_143_Docs</v>
      </c>
      <c r="E144" s="57" t="str">
        <f>HYPERLINK("https://ca.dep.state.fl.us/mapdirect/?focus=oilandgas&amp;zoom=query&amp;querytype=oilandgas&amp;queryvalues=OG_143","OG_143_Map")</f>
        <v>OG_143_Map</v>
      </c>
      <c r="F144" s="1" t="s">
        <v>634</v>
      </c>
      <c r="G144" s="1" t="s">
        <v>79</v>
      </c>
      <c r="H144" s="1" t="s">
        <v>176</v>
      </c>
      <c r="I144" s="1" t="s">
        <v>1853</v>
      </c>
      <c r="J144" s="17" t="s">
        <v>82</v>
      </c>
      <c r="K144" s="17" t="s">
        <v>83</v>
      </c>
      <c r="L144" s="17"/>
      <c r="M144" s="17" t="s">
        <v>84</v>
      </c>
      <c r="N144" s="52" t="s">
        <v>130</v>
      </c>
      <c r="O144" s="17" t="s">
        <v>86</v>
      </c>
      <c r="P144" s="17" t="s">
        <v>86</v>
      </c>
      <c r="Q144" s="81" t="s">
        <v>1854</v>
      </c>
      <c r="R144" s="11">
        <v>30.197590000000002</v>
      </c>
      <c r="S144" s="11">
        <v>-82.968855000000005</v>
      </c>
      <c r="T144" s="11" t="s">
        <v>1855</v>
      </c>
      <c r="U144" s="11" t="s">
        <v>1856</v>
      </c>
      <c r="V144" s="17" t="s">
        <v>1857</v>
      </c>
      <c r="W144" s="17" t="s">
        <v>110</v>
      </c>
      <c r="X144" s="70">
        <v>110</v>
      </c>
      <c r="Y144" s="70"/>
      <c r="Z144" s="13">
        <v>19218</v>
      </c>
      <c r="AA144" s="13">
        <v>19280</v>
      </c>
      <c r="AB144" s="13">
        <v>19340</v>
      </c>
      <c r="AC144" s="13">
        <v>19340</v>
      </c>
      <c r="AD144" s="86">
        <v>3684</v>
      </c>
      <c r="AE144" s="86">
        <v>3684</v>
      </c>
      <c r="AF144" s="70" t="s">
        <v>1858</v>
      </c>
      <c r="AG144" s="17" t="s">
        <v>1859</v>
      </c>
      <c r="AH144" s="17" t="s">
        <v>1860</v>
      </c>
      <c r="AI144" s="70" t="s">
        <v>94</v>
      </c>
      <c r="AJ144" s="17" t="s">
        <v>94</v>
      </c>
      <c r="AK144" s="17" t="s">
        <v>95</v>
      </c>
      <c r="AL144" s="17" t="s">
        <v>1861</v>
      </c>
      <c r="AM144" s="17" t="s">
        <v>94</v>
      </c>
      <c r="AN144" s="17" t="s">
        <v>94</v>
      </c>
      <c r="AO144" s="17" t="s">
        <v>98</v>
      </c>
      <c r="AP144" s="17" t="s">
        <v>98</v>
      </c>
      <c r="AQ144" s="17" t="s">
        <v>98</v>
      </c>
      <c r="AR144" s="17" t="s">
        <v>94</v>
      </c>
      <c r="AS144" s="17" t="s">
        <v>1862</v>
      </c>
      <c r="AT144" s="17">
        <v>136</v>
      </c>
      <c r="AU144" s="30" t="s">
        <v>1863</v>
      </c>
      <c r="AV144" s="14">
        <v>2784</v>
      </c>
      <c r="AW144" s="74"/>
      <c r="AX144" s="1"/>
      <c r="AY144" s="17" t="s">
        <v>101</v>
      </c>
    </row>
    <row r="145" spans="1:51" ht="12.75" customHeight="1" x14ac:dyDescent="0.25">
      <c r="A145" s="5">
        <v>144</v>
      </c>
      <c r="B145" s="9">
        <v>144</v>
      </c>
      <c r="C145" s="9" t="s">
        <v>1864</v>
      </c>
      <c r="D145" s="57" t="str">
        <f>HYPERLINK("http://prodenv.dep.state.fl.us/DepNexus/public/electronic-documents/OG_144/facility!search","OG_144_Docs")</f>
        <v>OG_144_Docs</v>
      </c>
      <c r="E145" s="57" t="str">
        <f>HYPERLINK("https://ca.dep.state.fl.us/mapdirect/?focus=oilandgas&amp;zoom=query&amp;querytype=oilandgas&amp;queryvalues=OG_144","OG_144_Map")</f>
        <v>OG_144_Map</v>
      </c>
      <c r="F145" s="1" t="s">
        <v>829</v>
      </c>
      <c r="G145" s="1" t="s">
        <v>79</v>
      </c>
      <c r="H145" s="1" t="s">
        <v>1865</v>
      </c>
      <c r="I145" s="1" t="s">
        <v>1866</v>
      </c>
      <c r="J145" s="17" t="s">
        <v>82</v>
      </c>
      <c r="K145" s="17" t="s">
        <v>83</v>
      </c>
      <c r="L145" s="17"/>
      <c r="M145" s="17" t="s">
        <v>101</v>
      </c>
      <c r="N145" s="52" t="s">
        <v>130</v>
      </c>
      <c r="O145" s="17" t="s">
        <v>86</v>
      </c>
      <c r="P145" s="17" t="s">
        <v>86</v>
      </c>
      <c r="Q145" s="81" t="s">
        <v>1867</v>
      </c>
      <c r="R145" s="11">
        <v>30.816793000000001</v>
      </c>
      <c r="S145" s="11">
        <v>-86.677667</v>
      </c>
      <c r="T145" s="11" t="s">
        <v>1868</v>
      </c>
      <c r="U145" s="11" t="s">
        <v>1869</v>
      </c>
      <c r="V145" s="17" t="s">
        <v>352</v>
      </c>
      <c r="W145" s="17" t="s">
        <v>110</v>
      </c>
      <c r="X145" s="70">
        <v>254</v>
      </c>
      <c r="Y145" s="70">
        <v>245</v>
      </c>
      <c r="Z145" s="13">
        <v>19225</v>
      </c>
      <c r="AA145" s="13">
        <v>19261</v>
      </c>
      <c r="AB145" s="13">
        <v>19272</v>
      </c>
      <c r="AC145" s="13">
        <v>19272</v>
      </c>
      <c r="AD145" s="86">
        <v>6324</v>
      </c>
      <c r="AE145" s="86">
        <v>6324</v>
      </c>
      <c r="AF145" s="70" t="s">
        <v>94</v>
      </c>
      <c r="AG145" s="23" t="s">
        <v>1870</v>
      </c>
      <c r="AH145" s="17" t="s">
        <v>94</v>
      </c>
      <c r="AI145" s="70" t="s">
        <v>94</v>
      </c>
      <c r="AJ145" s="17" t="s">
        <v>94</v>
      </c>
      <c r="AK145" s="17" t="s">
        <v>95</v>
      </c>
      <c r="AL145" s="17" t="s">
        <v>94</v>
      </c>
      <c r="AM145" s="17" t="s">
        <v>94</v>
      </c>
      <c r="AN145" s="17" t="s">
        <v>94</v>
      </c>
      <c r="AO145" s="17" t="s">
        <v>98</v>
      </c>
      <c r="AP145" s="17" t="s">
        <v>98</v>
      </c>
      <c r="AQ145" s="17" t="s">
        <v>98</v>
      </c>
      <c r="AR145" s="17" t="s">
        <v>94</v>
      </c>
      <c r="AS145" s="17" t="s">
        <v>1871</v>
      </c>
      <c r="AT145" s="17">
        <v>120</v>
      </c>
      <c r="AU145" s="30" t="s">
        <v>1872</v>
      </c>
      <c r="AV145" s="14">
        <v>2754</v>
      </c>
      <c r="AW145" s="74"/>
      <c r="AX145" s="1"/>
      <c r="AY145" s="17" t="s">
        <v>101</v>
      </c>
    </row>
    <row r="146" spans="1:51" ht="12.75" customHeight="1" x14ac:dyDescent="0.25">
      <c r="A146" s="5">
        <v>145</v>
      </c>
      <c r="B146" s="9">
        <v>145</v>
      </c>
      <c r="C146" s="9" t="s">
        <v>1873</v>
      </c>
      <c r="D146" s="57" t="str">
        <f>HYPERLINK("http://prodenv.dep.state.fl.us/DepNexus/public/electronic-documents/OG_145/facility!search","OG_145_Docs")</f>
        <v>OG_145_Docs</v>
      </c>
      <c r="E146" s="57" t="str">
        <f>HYPERLINK("https://ca.dep.state.fl.us/mapdirect/?focus=oilandgas&amp;zoom=query&amp;querytype=oilandgas&amp;queryvalues=OG_145","OG_145_Map")</f>
        <v>OG_145_Map</v>
      </c>
      <c r="F146" s="1" t="s">
        <v>1263</v>
      </c>
      <c r="G146" s="1" t="s">
        <v>79</v>
      </c>
      <c r="H146" s="1" t="s">
        <v>1874</v>
      </c>
      <c r="I146" s="1" t="s">
        <v>1875</v>
      </c>
      <c r="J146" s="17" t="s">
        <v>82</v>
      </c>
      <c r="K146" s="17" t="s">
        <v>83</v>
      </c>
      <c r="L146" s="17"/>
      <c r="M146" s="17"/>
      <c r="N146" s="52" t="s">
        <v>130</v>
      </c>
      <c r="O146" s="17" t="s">
        <v>86</v>
      </c>
      <c r="P146" s="17" t="s">
        <v>86</v>
      </c>
      <c r="Q146" s="81" t="s">
        <v>1876</v>
      </c>
      <c r="R146" s="11">
        <v>30.721909</v>
      </c>
      <c r="S146" s="11">
        <v>-85.072742000000005</v>
      </c>
      <c r="T146" s="11" t="s">
        <v>1877</v>
      </c>
      <c r="U146" s="11" t="s">
        <v>1878</v>
      </c>
      <c r="V146" s="17" t="s">
        <v>1879</v>
      </c>
      <c r="W146" s="17" t="s">
        <v>110</v>
      </c>
      <c r="X146" s="70">
        <v>141</v>
      </c>
      <c r="Y146" s="70">
        <v>132.6</v>
      </c>
      <c r="Z146" s="13">
        <v>19324</v>
      </c>
      <c r="AA146" s="13">
        <v>19347</v>
      </c>
      <c r="AB146" s="13">
        <v>19363</v>
      </c>
      <c r="AC146" s="13">
        <v>19363</v>
      </c>
      <c r="AD146" s="86">
        <v>4113</v>
      </c>
      <c r="AE146" s="86">
        <v>4113</v>
      </c>
      <c r="AF146" s="70" t="s">
        <v>94</v>
      </c>
      <c r="AG146" s="17" t="s">
        <v>1880</v>
      </c>
      <c r="AH146" s="17" t="s">
        <v>94</v>
      </c>
      <c r="AI146" s="70" t="s">
        <v>94</v>
      </c>
      <c r="AJ146" s="17" t="s">
        <v>94</v>
      </c>
      <c r="AK146" s="17" t="s">
        <v>95</v>
      </c>
      <c r="AL146" s="17" t="s">
        <v>94</v>
      </c>
      <c r="AM146" s="17" t="s">
        <v>94</v>
      </c>
      <c r="AN146" s="17" t="s">
        <v>94</v>
      </c>
      <c r="AO146" s="17" t="s">
        <v>98</v>
      </c>
      <c r="AP146" s="17" t="s">
        <v>98</v>
      </c>
      <c r="AQ146" s="17" t="s">
        <v>98</v>
      </c>
      <c r="AR146" s="17" t="s">
        <v>94</v>
      </c>
      <c r="AS146" s="17" t="s">
        <v>1881</v>
      </c>
      <c r="AT146" s="17"/>
      <c r="AU146" s="30" t="s">
        <v>1882</v>
      </c>
      <c r="AV146" s="14">
        <v>2777</v>
      </c>
      <c r="AW146" s="74"/>
      <c r="AX146" s="1"/>
      <c r="AY146" s="17" t="s">
        <v>101</v>
      </c>
    </row>
    <row r="147" spans="1:51" ht="12.75" customHeight="1" x14ac:dyDescent="0.25">
      <c r="A147" s="5">
        <v>146</v>
      </c>
      <c r="B147" s="9">
        <v>146</v>
      </c>
      <c r="C147" s="9" t="s">
        <v>1883</v>
      </c>
      <c r="D147" s="57" t="str">
        <f>HYPERLINK("http://prodenv.dep.state.fl.us/DepNexus/public/electronic-documents/OG_146/facility!search","OG_146_Docs")</f>
        <v>OG_146_Docs</v>
      </c>
      <c r="E147" s="57" t="str">
        <f>HYPERLINK("https://ca.dep.state.fl.us/mapdirect/?focus=oilandgas&amp;zoom=query&amp;querytype=oilandgas&amp;queryvalues=OG_146","OG_146_Map")</f>
        <v>OG_146_Map</v>
      </c>
      <c r="F147" s="1" t="s">
        <v>1797</v>
      </c>
      <c r="G147" s="1" t="s">
        <v>79</v>
      </c>
      <c r="H147" s="1" t="s">
        <v>1884</v>
      </c>
      <c r="I147" s="1" t="s">
        <v>1885</v>
      </c>
      <c r="J147" s="17" t="s">
        <v>82</v>
      </c>
      <c r="K147" s="17" t="s">
        <v>83</v>
      </c>
      <c r="L147" s="17"/>
      <c r="M147" s="17"/>
      <c r="N147" s="52" t="s">
        <v>130</v>
      </c>
      <c r="O147" s="17" t="s">
        <v>86</v>
      </c>
      <c r="P147" s="17" t="s">
        <v>86</v>
      </c>
      <c r="Q147" s="81" t="s">
        <v>1886</v>
      </c>
      <c r="R147" s="11">
        <v>30.998536000000001</v>
      </c>
      <c r="S147" s="11">
        <v>-87.138925</v>
      </c>
      <c r="T147" s="11" t="s">
        <v>1887</v>
      </c>
      <c r="U147" s="11" t="s">
        <v>1888</v>
      </c>
      <c r="V147" s="17" t="s">
        <v>1889</v>
      </c>
      <c r="W147" s="17" t="s">
        <v>110</v>
      </c>
      <c r="X147" s="70">
        <v>174</v>
      </c>
      <c r="Y147" s="70"/>
      <c r="Z147" s="13">
        <v>19324</v>
      </c>
      <c r="AA147" s="13">
        <v>19321</v>
      </c>
      <c r="AB147" s="13">
        <v>19334</v>
      </c>
      <c r="AC147" s="13">
        <v>19334</v>
      </c>
      <c r="AD147" s="86">
        <v>6721</v>
      </c>
      <c r="AE147" s="86">
        <v>6721</v>
      </c>
      <c r="AF147" s="70" t="s">
        <v>94</v>
      </c>
      <c r="AG147" s="17" t="s">
        <v>1890</v>
      </c>
      <c r="AH147" s="17" t="s">
        <v>94</v>
      </c>
      <c r="AI147" s="70" t="s">
        <v>94</v>
      </c>
      <c r="AJ147" s="17" t="s">
        <v>94</v>
      </c>
      <c r="AK147" s="17" t="s">
        <v>95</v>
      </c>
      <c r="AL147" s="17" t="s">
        <v>1891</v>
      </c>
      <c r="AM147" s="17" t="s">
        <v>94</v>
      </c>
      <c r="AN147" s="17" t="s">
        <v>94</v>
      </c>
      <c r="AO147" s="17" t="s">
        <v>98</v>
      </c>
      <c r="AP147" s="17" t="s">
        <v>98</v>
      </c>
      <c r="AQ147" s="17" t="s">
        <v>98</v>
      </c>
      <c r="AR147" s="17" t="s">
        <v>94</v>
      </c>
      <c r="AS147" s="17" t="s">
        <v>1892</v>
      </c>
      <c r="AT147" s="17"/>
      <c r="AU147" s="30" t="s">
        <v>1893</v>
      </c>
      <c r="AV147" s="14">
        <v>2772</v>
      </c>
      <c r="AW147" s="74"/>
      <c r="AX147" s="1"/>
      <c r="AY147" s="17" t="s">
        <v>101</v>
      </c>
    </row>
    <row r="148" spans="1:51" ht="12.75" customHeight="1" x14ac:dyDescent="0.25">
      <c r="A148" s="5">
        <v>147</v>
      </c>
      <c r="B148" s="9">
        <v>147</v>
      </c>
      <c r="C148" s="9" t="s">
        <v>1894</v>
      </c>
      <c r="D148" s="57" t="str">
        <f>HYPERLINK("http://prodenv.dep.state.fl.us/DepNexus/public/electronic-documents/OG_147/facility!search","OG_147_Docs")</f>
        <v>OG_147_Docs</v>
      </c>
      <c r="E148" s="57" t="str">
        <f>HYPERLINK("https://ca.dep.state.fl.us/mapdirect/?focus=oilandgas&amp;zoom=query&amp;querytype=oilandgas&amp;queryvalues=OG_147","OG_147_Map")</f>
        <v>OG_147_Map</v>
      </c>
      <c r="F148" s="1" t="s">
        <v>1682</v>
      </c>
      <c r="G148" s="1" t="s">
        <v>79</v>
      </c>
      <c r="H148" s="1" t="s">
        <v>1778</v>
      </c>
      <c r="I148" s="1" t="s">
        <v>1895</v>
      </c>
      <c r="J148" s="17" t="s">
        <v>82</v>
      </c>
      <c r="K148" s="17" t="s">
        <v>83</v>
      </c>
      <c r="L148" s="17"/>
      <c r="M148" s="17"/>
      <c r="N148" s="52" t="s">
        <v>130</v>
      </c>
      <c r="O148" s="17" t="s">
        <v>86</v>
      </c>
      <c r="P148" s="17" t="s">
        <v>86</v>
      </c>
      <c r="Q148" s="81" t="s">
        <v>1896</v>
      </c>
      <c r="R148" s="11">
        <v>30.765000000000001</v>
      </c>
      <c r="S148" s="11">
        <v>-87.481256999999999</v>
      </c>
      <c r="T148" s="11" t="s">
        <v>1897</v>
      </c>
      <c r="U148" s="11" t="s">
        <v>1898</v>
      </c>
      <c r="V148" s="17" t="s">
        <v>1899</v>
      </c>
      <c r="W148" s="17" t="s">
        <v>110</v>
      </c>
      <c r="X148" s="70">
        <v>201</v>
      </c>
      <c r="Y148" s="70">
        <v>191</v>
      </c>
      <c r="Z148" s="13">
        <v>19345</v>
      </c>
      <c r="AA148" s="13">
        <v>19375</v>
      </c>
      <c r="AB148" s="13">
        <v>19392</v>
      </c>
      <c r="AC148" s="13">
        <v>19392</v>
      </c>
      <c r="AD148" s="86">
        <v>7512</v>
      </c>
      <c r="AE148" s="86">
        <v>7512</v>
      </c>
      <c r="AF148" s="70" t="s">
        <v>94</v>
      </c>
      <c r="AG148" s="17" t="s">
        <v>1900</v>
      </c>
      <c r="AH148" s="17" t="s">
        <v>94</v>
      </c>
      <c r="AI148" s="70" t="s">
        <v>94</v>
      </c>
      <c r="AJ148" s="17" t="s">
        <v>94</v>
      </c>
      <c r="AK148" s="17" t="s">
        <v>95</v>
      </c>
      <c r="AL148" s="17" t="s">
        <v>94</v>
      </c>
      <c r="AM148" s="17" t="s">
        <v>94</v>
      </c>
      <c r="AN148" s="17" t="s">
        <v>94</v>
      </c>
      <c r="AO148" s="17" t="s">
        <v>98</v>
      </c>
      <c r="AP148" s="17" t="s">
        <v>98</v>
      </c>
      <c r="AQ148" s="17" t="s">
        <v>98</v>
      </c>
      <c r="AR148" s="17" t="s">
        <v>94</v>
      </c>
      <c r="AS148" s="17" t="s">
        <v>1901</v>
      </c>
      <c r="AT148" s="17"/>
      <c r="AU148" s="30" t="s">
        <v>1902</v>
      </c>
      <c r="AV148" s="14">
        <v>2862</v>
      </c>
      <c r="AW148" s="74"/>
      <c r="AX148" s="1"/>
      <c r="AY148" s="17" t="s">
        <v>101</v>
      </c>
    </row>
    <row r="149" spans="1:51" ht="12.75" customHeight="1" x14ac:dyDescent="0.25">
      <c r="A149" s="5">
        <v>148</v>
      </c>
      <c r="B149" s="9">
        <v>148</v>
      </c>
      <c r="C149" s="9" t="s">
        <v>1903</v>
      </c>
      <c r="D149" s="57" t="str">
        <f>HYPERLINK("http://prodenv.dep.state.fl.us/DepNexus/public/electronic-documents/OG_148/facility!search","OG_148_Docs")</f>
        <v>OG_148_Docs</v>
      </c>
      <c r="E149" s="57" t="str">
        <f>HYPERLINK("https://ca.dep.state.fl.us/mapdirect/?focus=oilandgas&amp;zoom=query&amp;querytype=oilandgas&amp;queryvalues=OG_148","OG_148_Map")</f>
        <v>OG_148_Map</v>
      </c>
      <c r="F149" s="1" t="s">
        <v>290</v>
      </c>
      <c r="G149" s="1" t="s">
        <v>79</v>
      </c>
      <c r="H149" s="1" t="s">
        <v>1904</v>
      </c>
      <c r="I149" s="1" t="s">
        <v>1905</v>
      </c>
      <c r="J149" s="17" t="s">
        <v>82</v>
      </c>
      <c r="K149" s="17" t="s">
        <v>83</v>
      </c>
      <c r="L149" s="17" t="s">
        <v>101</v>
      </c>
      <c r="M149" s="17" t="s">
        <v>101</v>
      </c>
      <c r="N149" s="52" t="s">
        <v>130</v>
      </c>
      <c r="O149" s="17" t="s">
        <v>292</v>
      </c>
      <c r="P149" s="17" t="s">
        <v>86</v>
      </c>
      <c r="Q149" s="81" t="s">
        <v>1906</v>
      </c>
      <c r="R149" s="11">
        <v>25.286021000000002</v>
      </c>
      <c r="S149" s="11">
        <v>-80.290983999999995</v>
      </c>
      <c r="T149" s="11" t="s">
        <v>1907</v>
      </c>
      <c r="U149" s="11" t="s">
        <v>1908</v>
      </c>
      <c r="V149" s="17" t="s">
        <v>1390</v>
      </c>
      <c r="W149" s="17" t="s">
        <v>110</v>
      </c>
      <c r="X149" s="70">
        <v>21</v>
      </c>
      <c r="Y149" s="70">
        <v>6</v>
      </c>
      <c r="Z149" s="13">
        <v>19372</v>
      </c>
      <c r="AA149" s="13">
        <v>19380</v>
      </c>
      <c r="AB149" s="13">
        <v>19605</v>
      </c>
      <c r="AC149" s="13">
        <v>19605</v>
      </c>
      <c r="AD149" s="86">
        <v>11968</v>
      </c>
      <c r="AE149" s="86">
        <v>11968</v>
      </c>
      <c r="AF149" s="70" t="s">
        <v>1909</v>
      </c>
      <c r="AG149" s="17" t="s">
        <v>1910</v>
      </c>
      <c r="AH149" s="17" t="s">
        <v>1911</v>
      </c>
      <c r="AI149" s="70" t="s">
        <v>94</v>
      </c>
      <c r="AJ149" s="17" t="s">
        <v>94</v>
      </c>
      <c r="AK149" s="17" t="s">
        <v>95</v>
      </c>
      <c r="AL149" s="17" t="s">
        <v>1912</v>
      </c>
      <c r="AM149" s="17" t="s">
        <v>94</v>
      </c>
      <c r="AN149" s="17" t="s">
        <v>1913</v>
      </c>
      <c r="AO149" s="17" t="s">
        <v>98</v>
      </c>
      <c r="AP149" s="17" t="s">
        <v>98</v>
      </c>
      <c r="AQ149" s="17" t="s">
        <v>98</v>
      </c>
      <c r="AR149" s="17" t="s">
        <v>94</v>
      </c>
      <c r="AS149" s="17" t="s">
        <v>1914</v>
      </c>
      <c r="AT149" s="17">
        <v>180</v>
      </c>
      <c r="AU149" s="30" t="s">
        <v>1915</v>
      </c>
      <c r="AV149" s="14">
        <v>3011</v>
      </c>
      <c r="AW149" s="74"/>
      <c r="AX149" s="1"/>
      <c r="AY149" s="17" t="s">
        <v>101</v>
      </c>
    </row>
    <row r="150" spans="1:51" ht="12.75" customHeight="1" x14ac:dyDescent="0.25">
      <c r="A150" s="5">
        <v>149</v>
      </c>
      <c r="B150" s="9">
        <v>149</v>
      </c>
      <c r="C150" s="9" t="s">
        <v>1916</v>
      </c>
      <c r="D150" s="57" t="str">
        <f>HYPERLINK("http://prodenv.dep.state.fl.us/DepNexus/public/electronic-documents/OG_149/facility!search","OG_149_Docs")</f>
        <v>OG_149_Docs</v>
      </c>
      <c r="E150" s="57" t="str">
        <f>HYPERLINK("https://ca.dep.state.fl.us/mapdirect/?focus=oilandgas&amp;zoom=query&amp;querytype=oilandgas&amp;queryvalues=OG_149","OG_149_Map")</f>
        <v>OG_149_Map</v>
      </c>
      <c r="F150" s="1" t="s">
        <v>103</v>
      </c>
      <c r="G150" s="1" t="s">
        <v>79</v>
      </c>
      <c r="H150" s="1" t="s">
        <v>128</v>
      </c>
      <c r="I150" s="1" t="s">
        <v>1917</v>
      </c>
      <c r="J150" s="17" t="s">
        <v>82</v>
      </c>
      <c r="K150" s="17" t="s">
        <v>83</v>
      </c>
      <c r="L150" s="17"/>
      <c r="M150" s="17"/>
      <c r="N150" s="52" t="s">
        <v>130</v>
      </c>
      <c r="O150" s="17" t="s">
        <v>86</v>
      </c>
      <c r="P150" s="17" t="s">
        <v>86</v>
      </c>
      <c r="Q150" s="81" t="s">
        <v>1918</v>
      </c>
      <c r="R150" s="11">
        <v>30.443431</v>
      </c>
      <c r="S150" s="11">
        <v>-85.291729000000004</v>
      </c>
      <c r="T150" s="11" t="s">
        <v>1919</v>
      </c>
      <c r="U150" s="11" t="s">
        <v>1920</v>
      </c>
      <c r="V150" s="17" t="s">
        <v>1899</v>
      </c>
      <c r="W150" s="17" t="s">
        <v>110</v>
      </c>
      <c r="X150" s="70">
        <v>160.16</v>
      </c>
      <c r="Y150" s="70">
        <v>151.66</v>
      </c>
      <c r="Z150" s="13">
        <v>19386</v>
      </c>
      <c r="AA150" s="13">
        <v>19384</v>
      </c>
      <c r="AB150" s="13">
        <v>19396</v>
      </c>
      <c r="AC150" s="13">
        <v>19396</v>
      </c>
      <c r="AD150" s="86">
        <v>5002</v>
      </c>
      <c r="AE150" s="86">
        <v>5002</v>
      </c>
      <c r="AF150" s="70" t="s">
        <v>1921</v>
      </c>
      <c r="AG150" s="17" t="s">
        <v>1922</v>
      </c>
      <c r="AH150" s="17" t="s">
        <v>94</v>
      </c>
      <c r="AI150" s="70" t="s">
        <v>94</v>
      </c>
      <c r="AJ150" s="17" t="s">
        <v>94</v>
      </c>
      <c r="AK150" s="17" t="s">
        <v>95</v>
      </c>
      <c r="AL150" s="17" t="s">
        <v>94</v>
      </c>
      <c r="AM150" s="17" t="s">
        <v>94</v>
      </c>
      <c r="AN150" s="17" t="s">
        <v>94</v>
      </c>
      <c r="AO150" s="17" t="s">
        <v>98</v>
      </c>
      <c r="AP150" s="17" t="s">
        <v>98</v>
      </c>
      <c r="AQ150" s="17" t="s">
        <v>98</v>
      </c>
      <c r="AR150" s="17" t="s">
        <v>94</v>
      </c>
      <c r="AS150" s="17" t="s">
        <v>1923</v>
      </c>
      <c r="AT150" s="17"/>
      <c r="AU150" s="30" t="s">
        <v>1924</v>
      </c>
      <c r="AV150" s="14">
        <v>2886</v>
      </c>
      <c r="AW150" s="74"/>
      <c r="AX150" s="1"/>
      <c r="AY150" s="17" t="s">
        <v>101</v>
      </c>
    </row>
    <row r="151" spans="1:51" ht="12.75" customHeight="1" x14ac:dyDescent="0.25">
      <c r="A151" s="5">
        <v>150</v>
      </c>
      <c r="B151" s="9">
        <v>150</v>
      </c>
      <c r="C151" s="9" t="s">
        <v>1925</v>
      </c>
      <c r="D151" s="57" t="str">
        <f>HYPERLINK("http://prodenv.dep.state.fl.us/DepNexus/public/electronic-documents/OG_150/facility!search","OG_150_Docs")</f>
        <v>OG_150_Docs</v>
      </c>
      <c r="E151" s="57" t="str">
        <f>HYPERLINK("https://ca.dep.state.fl.us/mapdirect/?focus=oilandgas&amp;zoom=query&amp;querytype=oilandgas&amp;queryvalues=OG_150","OG_150_Map")</f>
        <v>OG_150_Map</v>
      </c>
      <c r="F151" s="1" t="s">
        <v>829</v>
      </c>
      <c r="G151" s="1" t="s">
        <v>79</v>
      </c>
      <c r="H151" s="1" t="s">
        <v>128</v>
      </c>
      <c r="I151" s="1" t="s">
        <v>1926</v>
      </c>
      <c r="J151" s="17" t="s">
        <v>82</v>
      </c>
      <c r="K151" s="17" t="s">
        <v>83</v>
      </c>
      <c r="L151" s="17"/>
      <c r="M151" s="17" t="s">
        <v>101</v>
      </c>
      <c r="N151" s="52" t="s">
        <v>130</v>
      </c>
      <c r="O151" s="17" t="s">
        <v>86</v>
      </c>
      <c r="P151" s="17" t="s">
        <v>86</v>
      </c>
      <c r="Q151" s="81" t="s">
        <v>1927</v>
      </c>
      <c r="R151" s="11">
        <v>30.763285</v>
      </c>
      <c r="S151" s="11">
        <v>-86.490177000000003</v>
      </c>
      <c r="T151" s="11" t="s">
        <v>1928</v>
      </c>
      <c r="U151" s="11" t="s">
        <v>1929</v>
      </c>
      <c r="V151" s="17" t="s">
        <v>809</v>
      </c>
      <c r="W151" s="17" t="s">
        <v>110</v>
      </c>
      <c r="X151" s="70">
        <v>173.07</v>
      </c>
      <c r="Y151" s="70">
        <v>163.97</v>
      </c>
      <c r="Z151" s="13">
        <v>19395</v>
      </c>
      <c r="AA151" s="13">
        <v>19396</v>
      </c>
      <c r="AB151" s="13">
        <v>19408</v>
      </c>
      <c r="AC151" s="13">
        <v>19408</v>
      </c>
      <c r="AD151" s="86">
        <v>6012</v>
      </c>
      <c r="AE151" s="86">
        <v>6012</v>
      </c>
      <c r="AF151" s="70" t="s">
        <v>1930</v>
      </c>
      <c r="AG151" s="17" t="s">
        <v>1931</v>
      </c>
      <c r="AH151" s="17" t="s">
        <v>94</v>
      </c>
      <c r="AI151" s="70" t="s">
        <v>94</v>
      </c>
      <c r="AJ151" s="17" t="s">
        <v>94</v>
      </c>
      <c r="AK151" s="17" t="s">
        <v>95</v>
      </c>
      <c r="AL151" s="17" t="s">
        <v>1932</v>
      </c>
      <c r="AM151" s="17" t="s">
        <v>94</v>
      </c>
      <c r="AN151" s="17" t="s">
        <v>94</v>
      </c>
      <c r="AO151" s="17" t="s">
        <v>98</v>
      </c>
      <c r="AP151" s="17" t="s">
        <v>98</v>
      </c>
      <c r="AQ151" s="17" t="s">
        <v>98</v>
      </c>
      <c r="AR151" s="17" t="s">
        <v>94</v>
      </c>
      <c r="AS151" s="17" t="s">
        <v>1933</v>
      </c>
      <c r="AT151" s="17">
        <v>120</v>
      </c>
      <c r="AU151" s="30" t="s">
        <v>1934</v>
      </c>
      <c r="AV151" s="14">
        <v>2935</v>
      </c>
      <c r="AW151" s="74"/>
      <c r="AX151" s="1"/>
      <c r="AY151" s="17" t="s">
        <v>101</v>
      </c>
    </row>
    <row r="152" spans="1:51" ht="12.75" customHeight="1" x14ac:dyDescent="0.25">
      <c r="A152" s="5">
        <v>151</v>
      </c>
      <c r="B152" s="9">
        <v>151</v>
      </c>
      <c r="C152" s="9" t="s">
        <v>1935</v>
      </c>
      <c r="D152" s="57" t="str">
        <f>HYPERLINK("http://prodenv.dep.state.fl.us/DepNexus/public/electronic-documents/OG_151/facility!search","OG_151_Docs")</f>
        <v>OG_151_Docs</v>
      </c>
      <c r="E152" s="57" t="str">
        <f>HYPERLINK("https://ca.dep.state.fl.us/mapdirect/?focus=oilandgas&amp;zoom=query&amp;querytype=oilandgas&amp;queryvalues=OG_151","OG_151_Map")</f>
        <v>OG_151_Map</v>
      </c>
      <c r="F152" s="1" t="s">
        <v>1263</v>
      </c>
      <c r="G152" s="1" t="s">
        <v>79</v>
      </c>
      <c r="H152" s="1" t="s">
        <v>128</v>
      </c>
      <c r="I152" s="1" t="s">
        <v>1936</v>
      </c>
      <c r="J152" s="17" t="s">
        <v>82</v>
      </c>
      <c r="K152" s="17" t="s">
        <v>83</v>
      </c>
      <c r="L152" s="17"/>
      <c r="M152" s="17"/>
      <c r="N152" s="52" t="s">
        <v>130</v>
      </c>
      <c r="O152" s="17" t="s">
        <v>86</v>
      </c>
      <c r="P152" s="17" t="s">
        <v>86</v>
      </c>
      <c r="Q152" s="81" t="s">
        <v>1937</v>
      </c>
      <c r="R152" s="11">
        <v>30.943152999999999</v>
      </c>
      <c r="S152" s="11">
        <v>-85.287647000000007</v>
      </c>
      <c r="T152" s="11" t="s">
        <v>1938</v>
      </c>
      <c r="U152" s="11" t="s">
        <v>1939</v>
      </c>
      <c r="V152" s="17" t="s">
        <v>1940</v>
      </c>
      <c r="W152" s="17" t="s">
        <v>110</v>
      </c>
      <c r="X152" s="70">
        <v>138.46</v>
      </c>
      <c r="Y152" s="70">
        <v>129.96</v>
      </c>
      <c r="Z152" s="13">
        <v>19407</v>
      </c>
      <c r="AA152" s="13">
        <v>19399</v>
      </c>
      <c r="AB152" s="13">
        <v>19407</v>
      </c>
      <c r="AC152" s="13">
        <v>19407</v>
      </c>
      <c r="AD152" s="86">
        <v>3821</v>
      </c>
      <c r="AE152" s="86">
        <v>3821</v>
      </c>
      <c r="AF152" s="70" t="s">
        <v>1941</v>
      </c>
      <c r="AG152" s="17" t="s">
        <v>1942</v>
      </c>
      <c r="AH152" s="17" t="s">
        <v>94</v>
      </c>
      <c r="AI152" s="70" t="s">
        <v>94</v>
      </c>
      <c r="AJ152" s="17" t="s">
        <v>94</v>
      </c>
      <c r="AK152" s="17" t="s">
        <v>95</v>
      </c>
      <c r="AL152" s="17" t="s">
        <v>94</v>
      </c>
      <c r="AM152" s="17" t="s">
        <v>94</v>
      </c>
      <c r="AN152" s="17" t="s">
        <v>94</v>
      </c>
      <c r="AO152" s="17" t="s">
        <v>98</v>
      </c>
      <c r="AP152" s="17" t="s">
        <v>98</v>
      </c>
      <c r="AQ152" s="17" t="s">
        <v>98</v>
      </c>
      <c r="AR152" s="17" t="s">
        <v>94</v>
      </c>
      <c r="AS152" s="17" t="s">
        <v>1943</v>
      </c>
      <c r="AT152" s="17"/>
      <c r="AU152" s="30" t="s">
        <v>1944</v>
      </c>
      <c r="AV152" s="14">
        <v>2877</v>
      </c>
      <c r="AW152" s="74"/>
      <c r="AX152" s="1"/>
      <c r="AY152" s="17" t="s">
        <v>101</v>
      </c>
    </row>
    <row r="153" spans="1:51" ht="12.75" customHeight="1" x14ac:dyDescent="0.25">
      <c r="A153" s="5">
        <v>152</v>
      </c>
      <c r="B153" s="9">
        <v>152</v>
      </c>
      <c r="C153" s="9" t="s">
        <v>1945</v>
      </c>
      <c r="D153" s="57" t="str">
        <f>HYPERLINK("http://prodenv.dep.state.fl.us/DepNexus/public/electronic-documents/OG_152/facility!search","OG_152_Docs")</f>
        <v>OG_152_Docs</v>
      </c>
      <c r="E153" s="57" t="str">
        <f>HYPERLINK("https://ca.dep.state.fl.us/mapdirect/?focus=oilandgas&amp;zoom=query&amp;querytype=oilandgas&amp;queryvalues=OG_152","OG_152_Map")</f>
        <v>OG_152_Map</v>
      </c>
      <c r="F153" s="1" t="s">
        <v>1837</v>
      </c>
      <c r="G153" s="1" t="s">
        <v>79</v>
      </c>
      <c r="H153" s="1" t="s">
        <v>909</v>
      </c>
      <c r="I153" s="1" t="s">
        <v>1946</v>
      </c>
      <c r="J153" s="17" t="s">
        <v>82</v>
      </c>
      <c r="K153" s="17" t="s">
        <v>83</v>
      </c>
      <c r="L153" s="17" t="s">
        <v>101</v>
      </c>
      <c r="M153" s="17" t="s">
        <v>101</v>
      </c>
      <c r="N153" s="52" t="s">
        <v>1947</v>
      </c>
      <c r="O153" s="17" t="s">
        <v>86</v>
      </c>
      <c r="P153" s="17" t="s">
        <v>86</v>
      </c>
      <c r="Q153" s="81" t="s">
        <v>1948</v>
      </c>
      <c r="R153" s="11">
        <v>26.790918000000001</v>
      </c>
      <c r="S153" s="11">
        <v>-80.993514000000005</v>
      </c>
      <c r="T153" s="11" t="s">
        <v>1949</v>
      </c>
      <c r="U153" s="11" t="s">
        <v>1950</v>
      </c>
      <c r="V153" s="23" t="s">
        <v>1951</v>
      </c>
      <c r="W153" s="17" t="s">
        <v>110</v>
      </c>
      <c r="X153" s="70">
        <v>25</v>
      </c>
      <c r="Y153" s="70">
        <v>13</v>
      </c>
      <c r="Z153" s="13">
        <v>19414</v>
      </c>
      <c r="AA153" s="13">
        <v>19429</v>
      </c>
      <c r="AB153" s="13">
        <v>19556</v>
      </c>
      <c r="AC153" s="13">
        <v>19556</v>
      </c>
      <c r="AD153" s="86">
        <v>13424</v>
      </c>
      <c r="AE153" s="86">
        <v>13424</v>
      </c>
      <c r="AF153" s="70" t="s">
        <v>1952</v>
      </c>
      <c r="AG153" s="17" t="s">
        <v>1953</v>
      </c>
      <c r="AH153" s="17" t="s">
        <v>1954</v>
      </c>
      <c r="AI153" s="70" t="s">
        <v>94</v>
      </c>
      <c r="AJ153" s="17" t="s">
        <v>94</v>
      </c>
      <c r="AK153" s="17" t="s">
        <v>95</v>
      </c>
      <c r="AL153" s="17" t="s">
        <v>1955</v>
      </c>
      <c r="AM153" s="17" t="s">
        <v>94</v>
      </c>
      <c r="AN153" s="17" t="s">
        <v>1956</v>
      </c>
      <c r="AO153" s="17" t="s">
        <v>98</v>
      </c>
      <c r="AP153" s="17" t="s">
        <v>98</v>
      </c>
      <c r="AQ153" s="17" t="s">
        <v>98</v>
      </c>
      <c r="AR153" s="17" t="s">
        <v>94</v>
      </c>
      <c r="AS153" s="23" t="s">
        <v>1957</v>
      </c>
      <c r="AT153" s="17">
        <v>162</v>
      </c>
      <c r="AU153" s="30" t="s">
        <v>1958</v>
      </c>
      <c r="AV153" s="14">
        <v>2912</v>
      </c>
      <c r="AW153" s="74"/>
      <c r="AX153" s="1"/>
      <c r="AY153" s="17" t="s">
        <v>101</v>
      </c>
    </row>
    <row r="154" spans="1:51" ht="12.75" customHeight="1" x14ac:dyDescent="0.25">
      <c r="A154" s="5">
        <v>153</v>
      </c>
      <c r="B154" s="9">
        <v>153</v>
      </c>
      <c r="C154" s="9" t="s">
        <v>1959</v>
      </c>
      <c r="D154" s="57" t="str">
        <f>HYPERLINK("http://prodenv.dep.state.fl.us/DepNexus/public/electronic-documents/OG_153/facility!search","OG_153_Docs")</f>
        <v>OG_153_Docs</v>
      </c>
      <c r="E154" s="57" t="str">
        <f>HYPERLINK("https://ca.dep.state.fl.us/mapdirect/?focus=oilandgas&amp;zoom=query&amp;querytype=oilandgas&amp;queryvalues=OG_153","OG_153_Map")</f>
        <v>OG_153_Map</v>
      </c>
      <c r="F154" s="1" t="s">
        <v>1797</v>
      </c>
      <c r="G154" s="1" t="s">
        <v>79</v>
      </c>
      <c r="H154" s="1" t="s">
        <v>1960</v>
      </c>
      <c r="I154" s="1" t="s">
        <v>1961</v>
      </c>
      <c r="J154" s="17" t="s">
        <v>82</v>
      </c>
      <c r="K154" s="17" t="s">
        <v>83</v>
      </c>
      <c r="L154" s="17"/>
      <c r="M154" s="17"/>
      <c r="N154" s="52" t="s">
        <v>130</v>
      </c>
      <c r="O154" s="17" t="s">
        <v>1962</v>
      </c>
      <c r="P154" s="17" t="s">
        <v>86</v>
      </c>
      <c r="Q154" s="81" t="s">
        <v>1963</v>
      </c>
      <c r="R154" s="11">
        <v>30.983841000000002</v>
      </c>
      <c r="S154" s="11">
        <v>-86.846571999999995</v>
      </c>
      <c r="T154" s="11" t="s">
        <v>1964</v>
      </c>
      <c r="U154" s="11" t="s">
        <v>1965</v>
      </c>
      <c r="V154" s="17" t="s">
        <v>976</v>
      </c>
      <c r="W154" s="17" t="s">
        <v>110</v>
      </c>
      <c r="X154" s="70">
        <v>253.4</v>
      </c>
      <c r="Y154" s="70">
        <v>241</v>
      </c>
      <c r="Z154" s="13">
        <v>19414</v>
      </c>
      <c r="AA154" s="13">
        <v>19410</v>
      </c>
      <c r="AB154" s="13">
        <v>19428</v>
      </c>
      <c r="AC154" s="13">
        <v>19428</v>
      </c>
      <c r="AD154" s="86">
        <v>6045</v>
      </c>
      <c r="AE154" s="86">
        <v>6045</v>
      </c>
      <c r="AF154" s="70" t="s">
        <v>94</v>
      </c>
      <c r="AG154" s="23" t="s">
        <v>1966</v>
      </c>
      <c r="AH154" s="17" t="s">
        <v>94</v>
      </c>
      <c r="AI154" s="70" t="s">
        <v>94</v>
      </c>
      <c r="AJ154" s="17" t="s">
        <v>94</v>
      </c>
      <c r="AK154" s="17" t="s">
        <v>95</v>
      </c>
      <c r="AL154" s="17" t="s">
        <v>94</v>
      </c>
      <c r="AM154" s="17" t="s">
        <v>94</v>
      </c>
      <c r="AN154" s="17" t="s">
        <v>94</v>
      </c>
      <c r="AO154" s="17" t="s">
        <v>98</v>
      </c>
      <c r="AP154" s="17" t="s">
        <v>98</v>
      </c>
      <c r="AQ154" s="17" t="s">
        <v>98</v>
      </c>
      <c r="AR154" s="17" t="s">
        <v>94</v>
      </c>
      <c r="AS154" s="23" t="s">
        <v>1967</v>
      </c>
      <c r="AT154" s="17"/>
      <c r="AU154" s="30" t="s">
        <v>1968</v>
      </c>
      <c r="AV154" s="14">
        <v>2900</v>
      </c>
      <c r="AW154" s="74"/>
      <c r="AX154" s="1"/>
      <c r="AY154" s="17" t="s">
        <v>101</v>
      </c>
    </row>
    <row r="155" spans="1:51" ht="12.75" customHeight="1" x14ac:dyDescent="0.25">
      <c r="A155" s="5">
        <v>154</v>
      </c>
      <c r="B155" s="9">
        <v>154</v>
      </c>
      <c r="C155" s="9" t="s">
        <v>1969</v>
      </c>
      <c r="D155" s="57" t="str">
        <f>HYPERLINK("http://prodenv.dep.state.fl.us/DepNexus/public/electronic-documents/OG_154/facility!search","OG_154_Docs")</f>
        <v>OG_154_Docs</v>
      </c>
      <c r="E155" s="57" t="str">
        <f>HYPERLINK("https://ca.dep.state.fl.us/mapdirect/?focus=oilandgas&amp;zoom=query&amp;querytype=oilandgas&amp;queryvalues=OG_154","OG_154_Map")</f>
        <v>OG_154_Map</v>
      </c>
      <c r="F155" s="1" t="s">
        <v>971</v>
      </c>
      <c r="G155" s="1" t="s">
        <v>79</v>
      </c>
      <c r="H155" s="1" t="s">
        <v>1970</v>
      </c>
      <c r="I155" s="1" t="s">
        <v>1971</v>
      </c>
      <c r="J155" s="17" t="s">
        <v>82</v>
      </c>
      <c r="K155" s="17" t="s">
        <v>83</v>
      </c>
      <c r="L155" s="17"/>
      <c r="M155" s="17"/>
      <c r="N155" s="52" t="s">
        <v>130</v>
      </c>
      <c r="O155" s="17" t="s">
        <v>86</v>
      </c>
      <c r="P155" s="17" t="s">
        <v>86</v>
      </c>
      <c r="Q155" s="81" t="s">
        <v>1972</v>
      </c>
      <c r="R155" s="11">
        <v>30.467656000000002</v>
      </c>
      <c r="S155" s="11">
        <v>-85.859735000000001</v>
      </c>
      <c r="T155" s="11" t="s">
        <v>1973</v>
      </c>
      <c r="U155" s="11" t="s">
        <v>1974</v>
      </c>
      <c r="V155" s="17" t="s">
        <v>835</v>
      </c>
      <c r="W155" s="17" t="s">
        <v>110</v>
      </c>
      <c r="X155" s="71"/>
      <c r="Y155" s="70">
        <v>77.400000000000006</v>
      </c>
      <c r="Z155" s="13">
        <v>19421</v>
      </c>
      <c r="AA155" s="13">
        <v>19415</v>
      </c>
      <c r="AB155" s="13">
        <v>19430</v>
      </c>
      <c r="AC155" s="13">
        <v>19430</v>
      </c>
      <c r="AD155" s="86">
        <v>5000</v>
      </c>
      <c r="AE155" s="86">
        <v>5000</v>
      </c>
      <c r="AF155" s="70" t="s">
        <v>94</v>
      </c>
      <c r="AG155" s="23" t="s">
        <v>1975</v>
      </c>
      <c r="AH155" s="17" t="s">
        <v>94</v>
      </c>
      <c r="AI155" s="70" t="s">
        <v>94</v>
      </c>
      <c r="AJ155" s="17" t="s">
        <v>94</v>
      </c>
      <c r="AK155" s="17" t="s">
        <v>95</v>
      </c>
      <c r="AL155" s="23" t="s">
        <v>1976</v>
      </c>
      <c r="AM155" s="17" t="s">
        <v>94</v>
      </c>
      <c r="AN155" s="17" t="s">
        <v>94</v>
      </c>
      <c r="AO155" s="17" t="s">
        <v>98</v>
      </c>
      <c r="AP155" s="17" t="s">
        <v>98</v>
      </c>
      <c r="AQ155" s="17" t="s">
        <v>98</v>
      </c>
      <c r="AR155" s="17" t="s">
        <v>94</v>
      </c>
      <c r="AS155" s="23" t="s">
        <v>1977</v>
      </c>
      <c r="AT155" s="17"/>
      <c r="AU155" s="30" t="s">
        <v>1978</v>
      </c>
      <c r="AV155" s="14">
        <v>2884</v>
      </c>
      <c r="AW155" s="74"/>
      <c r="AX155" s="1"/>
      <c r="AY155" s="17" t="s">
        <v>101</v>
      </c>
    </row>
    <row r="156" spans="1:51" ht="12.75" customHeight="1" x14ac:dyDescent="0.25">
      <c r="A156" s="5">
        <v>155</v>
      </c>
      <c r="B156" s="9">
        <v>155</v>
      </c>
      <c r="C156" s="9" t="s">
        <v>1979</v>
      </c>
      <c r="D156" s="57" t="str">
        <f>HYPERLINK("http://prodenv.dep.state.fl.us/DepNexus/public/electronic-documents/OG_155/facility!search","OG_155_Docs")</f>
        <v>OG_155_Docs</v>
      </c>
      <c r="E156" s="57" t="str">
        <f>HYPERLINK("https://ca.dep.state.fl.us/mapdirect/?focus=oilandgas&amp;zoom=query&amp;querytype=oilandgas&amp;queryvalues=OG_155","OG_155_Map")</f>
        <v>OG_155_Map</v>
      </c>
      <c r="F156" s="1" t="s">
        <v>151</v>
      </c>
      <c r="G156" s="1" t="s">
        <v>79</v>
      </c>
      <c r="H156" s="1" t="s">
        <v>1970</v>
      </c>
      <c r="I156" s="1" t="s">
        <v>1980</v>
      </c>
      <c r="J156" s="17" t="s">
        <v>82</v>
      </c>
      <c r="K156" s="17" t="s">
        <v>83</v>
      </c>
      <c r="L156" s="17"/>
      <c r="M156" s="17" t="s">
        <v>101</v>
      </c>
      <c r="N156" s="52" t="s">
        <v>1981</v>
      </c>
      <c r="O156" s="17" t="s">
        <v>86</v>
      </c>
      <c r="P156" s="17" t="s">
        <v>86</v>
      </c>
      <c r="Q156" s="81" t="s">
        <v>1982</v>
      </c>
      <c r="R156" s="11">
        <v>30.372098000000001</v>
      </c>
      <c r="S156" s="11">
        <v>-85.729687999999996</v>
      </c>
      <c r="T156" s="11" t="s">
        <v>1983</v>
      </c>
      <c r="U156" s="11" t="s">
        <v>1984</v>
      </c>
      <c r="V156" s="17" t="s">
        <v>964</v>
      </c>
      <c r="W156" s="17" t="s">
        <v>110</v>
      </c>
      <c r="X156" s="70">
        <v>60</v>
      </c>
      <c r="Y156" s="71">
        <v>54.3</v>
      </c>
      <c r="Z156" s="13">
        <v>19428</v>
      </c>
      <c r="AA156" s="13">
        <v>19433</v>
      </c>
      <c r="AB156" s="13">
        <v>19449</v>
      </c>
      <c r="AC156" s="13">
        <v>19449</v>
      </c>
      <c r="AD156" s="86">
        <v>5020</v>
      </c>
      <c r="AE156" s="86">
        <v>5020</v>
      </c>
      <c r="AF156" s="70" t="s">
        <v>94</v>
      </c>
      <c r="AG156" s="17" t="s">
        <v>1985</v>
      </c>
      <c r="AH156" s="17" t="s">
        <v>94</v>
      </c>
      <c r="AI156" s="70" t="s">
        <v>94</v>
      </c>
      <c r="AJ156" s="17" t="s">
        <v>94</v>
      </c>
      <c r="AK156" s="17" t="s">
        <v>95</v>
      </c>
      <c r="AL156" s="17" t="s">
        <v>1986</v>
      </c>
      <c r="AM156" s="17" t="s">
        <v>94</v>
      </c>
      <c r="AN156" s="17" t="s">
        <v>94</v>
      </c>
      <c r="AO156" s="17" t="s">
        <v>98</v>
      </c>
      <c r="AP156" s="17" t="s">
        <v>98</v>
      </c>
      <c r="AQ156" s="17" t="s">
        <v>98</v>
      </c>
      <c r="AR156" s="17" t="s">
        <v>94</v>
      </c>
      <c r="AS156" s="23" t="s">
        <v>1987</v>
      </c>
      <c r="AT156" s="17">
        <v>136</v>
      </c>
      <c r="AU156" s="30" t="s">
        <v>1988</v>
      </c>
      <c r="AV156" s="14">
        <v>2893</v>
      </c>
      <c r="AW156" s="74"/>
      <c r="AX156" s="1"/>
      <c r="AY156" s="17" t="s">
        <v>101</v>
      </c>
    </row>
    <row r="157" spans="1:51" ht="12.75" customHeight="1" x14ac:dyDescent="0.25">
      <c r="A157" s="5">
        <v>156</v>
      </c>
      <c r="B157" s="9">
        <v>156</v>
      </c>
      <c r="C157" s="9" t="s">
        <v>1989</v>
      </c>
      <c r="D157" s="57" t="str">
        <f>HYPERLINK("http://prodenv.dep.state.fl.us/DepNexus/public/electronic-documents/OG_156/facility!search","OG_156_Docs")</f>
        <v>OG_156_Docs</v>
      </c>
      <c r="E157" s="57" t="str">
        <f>HYPERLINK("https://ca.dep.state.fl.us/mapdirect/?focus=oilandgas&amp;zoom=query&amp;querytype=oilandgas&amp;queryvalues=OG_156","OG_156_Map")</f>
        <v>OG_156_Map</v>
      </c>
      <c r="F157" s="1" t="s">
        <v>971</v>
      </c>
      <c r="G157" s="1" t="s">
        <v>79</v>
      </c>
      <c r="H157" s="1" t="s">
        <v>1970</v>
      </c>
      <c r="I157" s="1" t="s">
        <v>1990</v>
      </c>
      <c r="J157" s="17" t="s">
        <v>82</v>
      </c>
      <c r="K157" s="17" t="s">
        <v>83</v>
      </c>
      <c r="L157" s="17"/>
      <c r="M157" s="17"/>
      <c r="N157" s="52" t="s">
        <v>130</v>
      </c>
      <c r="O157" s="17" t="s">
        <v>86</v>
      </c>
      <c r="P157" s="17" t="s">
        <v>86</v>
      </c>
      <c r="Q157" s="81" t="s">
        <v>1991</v>
      </c>
      <c r="R157" s="11">
        <v>30.544279</v>
      </c>
      <c r="S157" s="11">
        <v>-85.787389000000005</v>
      </c>
      <c r="T157" s="11" t="s">
        <v>1992</v>
      </c>
      <c r="U157" s="11" t="s">
        <v>1993</v>
      </c>
      <c r="V157" s="17" t="s">
        <v>320</v>
      </c>
      <c r="W157" s="17" t="s">
        <v>110</v>
      </c>
      <c r="X157" s="70">
        <v>143.30000000000001</v>
      </c>
      <c r="Y157" s="70">
        <v>140.69999999999999</v>
      </c>
      <c r="Z157" s="13">
        <v>19428</v>
      </c>
      <c r="AA157" s="13">
        <v>19453</v>
      </c>
      <c r="AB157" s="13">
        <v>19472</v>
      </c>
      <c r="AC157" s="13">
        <v>19472</v>
      </c>
      <c r="AD157" s="86">
        <v>4720</v>
      </c>
      <c r="AE157" s="86">
        <v>4720</v>
      </c>
      <c r="AF157" s="71" t="s">
        <v>1994</v>
      </c>
      <c r="AG157" s="23" t="s">
        <v>1995</v>
      </c>
      <c r="AH157" s="23" t="s">
        <v>94</v>
      </c>
      <c r="AI157" s="71" t="s">
        <v>94</v>
      </c>
      <c r="AJ157" s="23" t="s">
        <v>94</v>
      </c>
      <c r="AK157" s="23" t="s">
        <v>95</v>
      </c>
      <c r="AL157" s="23" t="s">
        <v>1996</v>
      </c>
      <c r="AM157" s="23" t="s">
        <v>94</v>
      </c>
      <c r="AN157" s="23" t="s">
        <v>94</v>
      </c>
      <c r="AO157" s="17" t="s">
        <v>98</v>
      </c>
      <c r="AP157" s="17" t="s">
        <v>98</v>
      </c>
      <c r="AQ157" s="17" t="s">
        <v>98</v>
      </c>
      <c r="AR157" s="23" t="s">
        <v>94</v>
      </c>
      <c r="AS157" s="23" t="s">
        <v>1997</v>
      </c>
      <c r="AT157" s="17"/>
      <c r="AU157" s="30" t="s">
        <v>1998</v>
      </c>
      <c r="AV157" s="14">
        <v>2913</v>
      </c>
      <c r="AW157" s="74"/>
      <c r="AX157" s="1"/>
      <c r="AY157" s="17" t="s">
        <v>101</v>
      </c>
    </row>
    <row r="158" spans="1:51" ht="12.75" customHeight="1" x14ac:dyDescent="0.25">
      <c r="A158" s="5">
        <v>157</v>
      </c>
      <c r="B158" s="9">
        <v>157</v>
      </c>
      <c r="C158" s="9" t="s">
        <v>1999</v>
      </c>
      <c r="D158" s="57" t="str">
        <f>HYPERLINK("http://prodenv.dep.state.fl.us/DepNexus/public/electronic-documents/OG_157/facility!search","OG_157_Docs")</f>
        <v>OG_157_Docs</v>
      </c>
      <c r="E158" s="57" t="str">
        <f>HYPERLINK("https://ca.dep.state.fl.us/mapdirect/?focus=oilandgas&amp;zoom=query&amp;querytype=oilandgas&amp;queryvalues=OG_157","OG_157_Map")</f>
        <v>OG_157_Map</v>
      </c>
      <c r="F158" s="1" t="s">
        <v>1797</v>
      </c>
      <c r="G158" s="1" t="s">
        <v>79</v>
      </c>
      <c r="H158" s="1" t="s">
        <v>1778</v>
      </c>
      <c r="I158" s="1" t="s">
        <v>2000</v>
      </c>
      <c r="J158" s="17" t="s">
        <v>82</v>
      </c>
      <c r="K158" s="17" t="s">
        <v>83</v>
      </c>
      <c r="L158" s="17"/>
      <c r="M158" s="17"/>
      <c r="N158" s="52" t="s">
        <v>130</v>
      </c>
      <c r="O158" s="17" t="s">
        <v>86</v>
      </c>
      <c r="P158" s="17" t="s">
        <v>86</v>
      </c>
      <c r="Q158" s="81" t="s">
        <v>2001</v>
      </c>
      <c r="R158" s="11">
        <v>30.949805000000001</v>
      </c>
      <c r="S158" s="11">
        <v>-87.103160000000003</v>
      </c>
      <c r="T158" s="11" t="s">
        <v>2002</v>
      </c>
      <c r="U158" s="11" t="s">
        <v>2003</v>
      </c>
      <c r="V158" s="17" t="s">
        <v>809</v>
      </c>
      <c r="W158" s="17" t="s">
        <v>110</v>
      </c>
      <c r="X158" s="70">
        <v>190</v>
      </c>
      <c r="Y158" s="71"/>
      <c r="Z158" s="13">
        <v>19428</v>
      </c>
      <c r="AA158" s="13">
        <v>19430</v>
      </c>
      <c r="AB158" s="13">
        <v>19444</v>
      </c>
      <c r="AC158" s="13">
        <v>19444</v>
      </c>
      <c r="AD158" s="86">
        <v>7000</v>
      </c>
      <c r="AE158" s="86">
        <v>7000</v>
      </c>
      <c r="AF158" s="71" t="s">
        <v>94</v>
      </c>
      <c r="AG158" s="23" t="s">
        <v>2004</v>
      </c>
      <c r="AH158" s="23" t="s">
        <v>94</v>
      </c>
      <c r="AI158" s="71" t="s">
        <v>94</v>
      </c>
      <c r="AJ158" s="23" t="s">
        <v>94</v>
      </c>
      <c r="AK158" s="23" t="s">
        <v>95</v>
      </c>
      <c r="AL158" s="23" t="s">
        <v>94</v>
      </c>
      <c r="AM158" s="23" t="s">
        <v>94</v>
      </c>
      <c r="AN158" s="23" t="s">
        <v>94</v>
      </c>
      <c r="AO158" s="17" t="s">
        <v>98</v>
      </c>
      <c r="AP158" s="17" t="s">
        <v>98</v>
      </c>
      <c r="AQ158" s="17" t="s">
        <v>98</v>
      </c>
      <c r="AR158" s="23" t="s">
        <v>94</v>
      </c>
      <c r="AS158" s="23" t="s">
        <v>2005</v>
      </c>
      <c r="AT158" s="17"/>
      <c r="AU158" s="30" t="s">
        <v>2006</v>
      </c>
      <c r="AV158" s="14">
        <v>2885</v>
      </c>
      <c r="AW158" s="74"/>
      <c r="AX158" s="1"/>
      <c r="AY158" s="17" t="s">
        <v>101</v>
      </c>
    </row>
    <row r="159" spans="1:51" ht="12.75" customHeight="1" x14ac:dyDescent="0.25">
      <c r="A159" s="5">
        <v>158</v>
      </c>
      <c r="B159" s="9">
        <v>158</v>
      </c>
      <c r="C159" s="9" t="s">
        <v>2007</v>
      </c>
      <c r="D159" s="57" t="str">
        <f>HYPERLINK("http://prodenv.dep.state.fl.us/DepNexus/public/electronic-documents/OG_158/facility!search","OG_158_Docs")</f>
        <v>OG_158_Docs</v>
      </c>
      <c r="E159" s="57" t="str">
        <f>HYPERLINK("https://ca.dep.state.fl.us/mapdirect/?focus=oilandgas&amp;zoom=query&amp;querytype=oilandgas&amp;queryvalues=OG_158","OG_158_Map")</f>
        <v>OG_158_Map</v>
      </c>
      <c r="F159" s="1" t="s">
        <v>1797</v>
      </c>
      <c r="G159" s="1" t="s">
        <v>79</v>
      </c>
      <c r="H159" s="1" t="s">
        <v>1960</v>
      </c>
      <c r="I159" s="1" t="s">
        <v>2008</v>
      </c>
      <c r="J159" s="17" t="s">
        <v>82</v>
      </c>
      <c r="K159" s="17" t="s">
        <v>83</v>
      </c>
      <c r="L159" s="17"/>
      <c r="M159" s="17"/>
      <c r="N159" s="52" t="s">
        <v>130</v>
      </c>
      <c r="O159" s="17" t="s">
        <v>1962</v>
      </c>
      <c r="P159" s="17" t="s">
        <v>86</v>
      </c>
      <c r="Q159" s="81" t="s">
        <v>2009</v>
      </c>
      <c r="R159" s="11">
        <v>30.877763999999999</v>
      </c>
      <c r="S159" s="11">
        <v>-86.944575999999998</v>
      </c>
      <c r="T159" s="11" t="s">
        <v>2010</v>
      </c>
      <c r="U159" s="11" t="s">
        <v>2011</v>
      </c>
      <c r="V159" s="17" t="s">
        <v>2012</v>
      </c>
      <c r="W159" s="17" t="s">
        <v>110</v>
      </c>
      <c r="X159" s="70">
        <v>142</v>
      </c>
      <c r="Y159" s="71"/>
      <c r="Z159" s="13">
        <v>19442</v>
      </c>
      <c r="AA159" s="13">
        <v>19507</v>
      </c>
      <c r="AB159" s="13">
        <v>19527</v>
      </c>
      <c r="AC159" s="13">
        <v>19527</v>
      </c>
      <c r="AD159" s="86">
        <v>6367</v>
      </c>
      <c r="AE159" s="86">
        <v>6367</v>
      </c>
      <c r="AF159" s="71" t="s">
        <v>94</v>
      </c>
      <c r="AG159" s="23" t="s">
        <v>2013</v>
      </c>
      <c r="AH159" s="23" t="s">
        <v>94</v>
      </c>
      <c r="AI159" s="71" t="s">
        <v>94</v>
      </c>
      <c r="AJ159" s="23" t="s">
        <v>94</v>
      </c>
      <c r="AK159" s="23" t="s">
        <v>95</v>
      </c>
      <c r="AL159" s="23" t="s">
        <v>94</v>
      </c>
      <c r="AM159" s="23" t="s">
        <v>94</v>
      </c>
      <c r="AN159" s="23" t="s">
        <v>94</v>
      </c>
      <c r="AO159" s="17" t="s">
        <v>98</v>
      </c>
      <c r="AP159" s="17" t="s">
        <v>98</v>
      </c>
      <c r="AQ159" s="17" t="s">
        <v>98</v>
      </c>
      <c r="AR159" s="23" t="s">
        <v>94</v>
      </c>
      <c r="AS159" s="23" t="s">
        <v>2014</v>
      </c>
      <c r="AT159" s="17"/>
      <c r="AU159" s="30" t="s">
        <v>2015</v>
      </c>
      <c r="AV159" s="14">
        <v>2978</v>
      </c>
      <c r="AW159" s="74"/>
      <c r="AX159" s="1"/>
      <c r="AY159" s="17" t="s">
        <v>101</v>
      </c>
    </row>
    <row r="160" spans="1:51" ht="12.75" customHeight="1" x14ac:dyDescent="0.25">
      <c r="A160" s="5">
        <v>159</v>
      </c>
      <c r="B160" s="9">
        <v>159</v>
      </c>
      <c r="C160" s="9" t="s">
        <v>2016</v>
      </c>
      <c r="D160" s="57" t="str">
        <f>HYPERLINK("http://prodenv.dep.state.fl.us/DepNexus/public/electronic-documents/OG_159/facility!search","OG_159_Docs")</f>
        <v>OG_159_Docs</v>
      </c>
      <c r="E160" s="57" t="str">
        <f>HYPERLINK("https://ca.dep.state.fl.us/mapdirect/?focus=oilandgas&amp;zoom=query&amp;querytype=oilandgas&amp;queryvalues=OG_159","OG_159_Map")</f>
        <v>OG_159_Map</v>
      </c>
      <c r="F160" s="1" t="s">
        <v>829</v>
      </c>
      <c r="G160" s="1" t="s">
        <v>79</v>
      </c>
      <c r="H160" s="1" t="s">
        <v>1960</v>
      </c>
      <c r="I160" s="1" t="s">
        <v>2017</v>
      </c>
      <c r="J160" s="17" t="s">
        <v>82</v>
      </c>
      <c r="K160" s="17" t="s">
        <v>83</v>
      </c>
      <c r="L160" s="17"/>
      <c r="M160" s="17" t="s">
        <v>101</v>
      </c>
      <c r="N160" s="52" t="s">
        <v>130</v>
      </c>
      <c r="O160" s="17" t="s">
        <v>1962</v>
      </c>
      <c r="P160" s="17" t="s">
        <v>86</v>
      </c>
      <c r="Q160" s="81" t="s">
        <v>2018</v>
      </c>
      <c r="R160" s="11">
        <v>30.910701</v>
      </c>
      <c r="S160" s="11">
        <v>-86.654358999999999</v>
      </c>
      <c r="T160" s="11" t="s">
        <v>2019</v>
      </c>
      <c r="U160" s="11" t="s">
        <v>2020</v>
      </c>
      <c r="V160" s="17" t="s">
        <v>2021</v>
      </c>
      <c r="W160" s="17" t="s">
        <v>110</v>
      </c>
      <c r="X160" s="70">
        <v>238.2</v>
      </c>
      <c r="Y160" s="70">
        <v>228</v>
      </c>
      <c r="Z160" s="13">
        <v>19456</v>
      </c>
      <c r="AA160" s="13">
        <v>19464</v>
      </c>
      <c r="AB160" s="13">
        <v>19480</v>
      </c>
      <c r="AC160" s="13">
        <v>19480</v>
      </c>
      <c r="AD160" s="86">
        <v>5775</v>
      </c>
      <c r="AE160" s="86">
        <v>5775</v>
      </c>
      <c r="AF160" s="71" t="s">
        <v>94</v>
      </c>
      <c r="AG160" s="23" t="s">
        <v>2022</v>
      </c>
      <c r="AH160" s="23" t="s">
        <v>94</v>
      </c>
      <c r="AI160" s="71" t="s">
        <v>94</v>
      </c>
      <c r="AJ160" s="23" t="s">
        <v>94</v>
      </c>
      <c r="AK160" s="23" t="s">
        <v>95</v>
      </c>
      <c r="AL160" s="23" t="s">
        <v>94</v>
      </c>
      <c r="AM160" s="23" t="s">
        <v>94</v>
      </c>
      <c r="AN160" s="23" t="s">
        <v>94</v>
      </c>
      <c r="AO160" s="17" t="s">
        <v>98</v>
      </c>
      <c r="AP160" s="17" t="s">
        <v>98</v>
      </c>
      <c r="AQ160" s="17" t="s">
        <v>98</v>
      </c>
      <c r="AR160" s="23" t="s">
        <v>94</v>
      </c>
      <c r="AS160" s="23" t="s">
        <v>2023</v>
      </c>
      <c r="AT160" s="17">
        <v>132</v>
      </c>
      <c r="AU160" s="30" t="s">
        <v>2024</v>
      </c>
      <c r="AV160" s="14">
        <v>2961</v>
      </c>
      <c r="AW160" s="74"/>
      <c r="AX160" s="1"/>
      <c r="AY160" s="17" t="s">
        <v>101</v>
      </c>
    </row>
    <row r="161" spans="1:51" ht="12.75" customHeight="1" x14ac:dyDescent="0.25">
      <c r="A161" s="5">
        <v>160</v>
      </c>
      <c r="B161" s="9">
        <v>160</v>
      </c>
      <c r="C161" s="9" t="s">
        <v>2025</v>
      </c>
      <c r="D161" s="57" t="str">
        <f>HYPERLINK("http://prodenv.dep.state.fl.us/DepNexus/public/electronic-documents/OG_160/facility!search","OG_160_Docs")</f>
        <v>OG_160_Docs</v>
      </c>
      <c r="E161" s="57" t="str">
        <f>HYPERLINK("https://ca.dep.state.fl.us/mapdirect/?focus=oilandgas&amp;zoom=query&amp;querytype=oilandgas&amp;queryvalues=OG_160","OG_160_Map")</f>
        <v>OG_160_Map</v>
      </c>
      <c r="F161" s="1" t="s">
        <v>2026</v>
      </c>
      <c r="G161" s="1" t="s">
        <v>79</v>
      </c>
      <c r="H161" s="1" t="s">
        <v>229</v>
      </c>
      <c r="I161" s="1" t="s">
        <v>2027</v>
      </c>
      <c r="J161" s="17" t="s">
        <v>82</v>
      </c>
      <c r="K161" s="17" t="s">
        <v>83</v>
      </c>
      <c r="L161" s="17" t="s">
        <v>101</v>
      </c>
      <c r="M161" s="17"/>
      <c r="N161" s="52" t="s">
        <v>130</v>
      </c>
      <c r="O161" s="17" t="s">
        <v>86</v>
      </c>
      <c r="P161" s="17" t="s">
        <v>86</v>
      </c>
      <c r="Q161" s="81" t="s">
        <v>2028</v>
      </c>
      <c r="R161" s="11">
        <v>26.538810000000002</v>
      </c>
      <c r="S161" s="11">
        <v>-81.695278000000002</v>
      </c>
      <c r="T161" s="11" t="s">
        <v>2029</v>
      </c>
      <c r="U161" s="11" t="s">
        <v>2030</v>
      </c>
      <c r="V161" s="17" t="s">
        <v>835</v>
      </c>
      <c r="W161" s="17" t="s">
        <v>110</v>
      </c>
      <c r="X161" s="70">
        <v>47</v>
      </c>
      <c r="Y161" s="71">
        <v>30</v>
      </c>
      <c r="Z161" s="13">
        <v>19456</v>
      </c>
      <c r="AA161" s="13">
        <v>19516</v>
      </c>
      <c r="AB161" s="13">
        <v>19628</v>
      </c>
      <c r="AC161" s="13">
        <v>19634</v>
      </c>
      <c r="AD161" s="86">
        <v>12863</v>
      </c>
      <c r="AE161" s="86">
        <v>12863</v>
      </c>
      <c r="AF161" s="71" t="s">
        <v>2031</v>
      </c>
      <c r="AG161" s="23" t="s">
        <v>2032</v>
      </c>
      <c r="AH161" s="23" t="s">
        <v>2033</v>
      </c>
      <c r="AI161" s="71" t="s">
        <v>94</v>
      </c>
      <c r="AJ161" s="23" t="s">
        <v>94</v>
      </c>
      <c r="AK161" s="23" t="s">
        <v>95</v>
      </c>
      <c r="AL161" s="23" t="s">
        <v>2034</v>
      </c>
      <c r="AM161" s="23" t="s">
        <v>94</v>
      </c>
      <c r="AN161" s="23" t="s">
        <v>2035</v>
      </c>
      <c r="AO161" s="23" t="s">
        <v>95</v>
      </c>
      <c r="AP161" s="23" t="s">
        <v>94</v>
      </c>
      <c r="AQ161" s="23" t="s">
        <v>95</v>
      </c>
      <c r="AR161" s="23" t="s">
        <v>94</v>
      </c>
      <c r="AS161" s="23" t="s">
        <v>2036</v>
      </c>
      <c r="AT161" s="17"/>
      <c r="AU161" s="30" t="s">
        <v>2037</v>
      </c>
      <c r="AV161" s="14">
        <v>2979</v>
      </c>
      <c r="AW161" s="74"/>
      <c r="AX161" s="1"/>
      <c r="AY161" s="17" t="s">
        <v>101</v>
      </c>
    </row>
    <row r="162" spans="1:51" ht="12.75" customHeight="1" x14ac:dyDescent="0.25">
      <c r="A162" s="5">
        <v>161</v>
      </c>
      <c r="B162" s="9">
        <v>161</v>
      </c>
      <c r="C162" s="9" t="s">
        <v>2038</v>
      </c>
      <c r="D162" s="57" t="str">
        <f>HYPERLINK("http://prodenv.dep.state.fl.us/DepNexus/public/electronic-documents/OG_161/facility!search","OG_161_Docs")</f>
        <v>OG_161_Docs</v>
      </c>
      <c r="E162" s="57" t="str">
        <f>HYPERLINK("https://ca.dep.state.fl.us/mapdirect/?focus=oilandgas&amp;zoom=query&amp;querytype=oilandgas&amp;queryvalues=OG_161","OG_161_Map")</f>
        <v>OG_161_Map</v>
      </c>
      <c r="F162" s="1" t="s">
        <v>2026</v>
      </c>
      <c r="G162" s="1" t="s">
        <v>79</v>
      </c>
      <c r="H162" s="1" t="s">
        <v>176</v>
      </c>
      <c r="I162" s="1" t="s">
        <v>2039</v>
      </c>
      <c r="J162" s="17" t="s">
        <v>82</v>
      </c>
      <c r="K162" s="17" t="s">
        <v>83</v>
      </c>
      <c r="L162" s="17" t="s">
        <v>101</v>
      </c>
      <c r="M162" s="17" t="s">
        <v>101</v>
      </c>
      <c r="N162" s="52" t="s">
        <v>2040</v>
      </c>
      <c r="O162" s="17" t="s">
        <v>86</v>
      </c>
      <c r="P162" s="17" t="s">
        <v>86</v>
      </c>
      <c r="Q162" s="81" t="s">
        <v>2041</v>
      </c>
      <c r="R162" s="11">
        <v>26.548052999999999</v>
      </c>
      <c r="S162" s="11">
        <v>-81.873570999999998</v>
      </c>
      <c r="T162" s="11" t="s">
        <v>2042</v>
      </c>
      <c r="U162" s="11" t="s">
        <v>2043</v>
      </c>
      <c r="V162" s="17" t="s">
        <v>2044</v>
      </c>
      <c r="W162" s="17" t="s">
        <v>110</v>
      </c>
      <c r="X162" s="70">
        <v>22</v>
      </c>
      <c r="Y162" s="71"/>
      <c r="Z162" s="13">
        <v>19456</v>
      </c>
      <c r="AA162" s="13">
        <v>19467</v>
      </c>
      <c r="AB162" s="13">
        <v>19616</v>
      </c>
      <c r="AC162" s="13">
        <v>19616</v>
      </c>
      <c r="AD162" s="86">
        <v>12877</v>
      </c>
      <c r="AE162" s="86">
        <v>12877</v>
      </c>
      <c r="AF162" s="71" t="s">
        <v>2045</v>
      </c>
      <c r="AG162" s="23" t="s">
        <v>2046</v>
      </c>
      <c r="AH162" s="23" t="s">
        <v>2047</v>
      </c>
      <c r="AI162" s="71" t="s">
        <v>2048</v>
      </c>
      <c r="AJ162" s="23" t="s">
        <v>94</v>
      </c>
      <c r="AK162" s="23" t="s">
        <v>95</v>
      </c>
      <c r="AL162" s="23" t="s">
        <v>2049</v>
      </c>
      <c r="AM162" s="23" t="s">
        <v>95</v>
      </c>
      <c r="AN162" s="23" t="s">
        <v>2050</v>
      </c>
      <c r="AO162" s="23" t="s">
        <v>95</v>
      </c>
      <c r="AP162" s="23" t="s">
        <v>94</v>
      </c>
      <c r="AQ162" s="23" t="s">
        <v>94</v>
      </c>
      <c r="AR162" s="23" t="s">
        <v>2051</v>
      </c>
      <c r="AS162" s="23" t="s">
        <v>2052</v>
      </c>
      <c r="AT162" s="17"/>
      <c r="AU162" s="30" t="s">
        <v>2053</v>
      </c>
      <c r="AV162" s="14">
        <v>3073</v>
      </c>
      <c r="AW162" s="74"/>
      <c r="AX162" s="1"/>
      <c r="AY162" s="17" t="s">
        <v>101</v>
      </c>
    </row>
    <row r="163" spans="1:51" ht="12.75" customHeight="1" x14ac:dyDescent="0.25">
      <c r="A163" s="5">
        <v>162</v>
      </c>
      <c r="B163" s="9">
        <v>162</v>
      </c>
      <c r="C163" s="9" t="s">
        <v>2054</v>
      </c>
      <c r="D163" s="57" t="str">
        <f>HYPERLINK("http://prodenv.dep.state.fl.us/DepNexus/public/electronic-documents/OG_162/facility!search","OG_162_Docs")</f>
        <v>OG_162_Docs</v>
      </c>
      <c r="E163" s="57" t="str">
        <f>HYPERLINK("https://ca.dep.state.fl.us/mapdirect/?focus=oilandgas&amp;zoom=query&amp;querytype=oilandgas&amp;queryvalues=OG_162","OG_162_Map")</f>
        <v>OG_162_Map</v>
      </c>
      <c r="F163" s="1" t="s">
        <v>1752</v>
      </c>
      <c r="G163" s="1" t="s">
        <v>79</v>
      </c>
      <c r="H163" s="1" t="s">
        <v>1740</v>
      </c>
      <c r="I163" s="1" t="s">
        <v>2055</v>
      </c>
      <c r="J163" s="17" t="s">
        <v>82</v>
      </c>
      <c r="K163" s="17" t="s">
        <v>83</v>
      </c>
      <c r="L163" s="17"/>
      <c r="M163" s="17"/>
      <c r="N163" s="52" t="s">
        <v>130</v>
      </c>
      <c r="O163" s="17" t="s">
        <v>86</v>
      </c>
      <c r="P163" s="17" t="s">
        <v>86</v>
      </c>
      <c r="Q163" s="81" t="s">
        <v>2056</v>
      </c>
      <c r="R163" s="11">
        <v>26.565833999999999</v>
      </c>
      <c r="S163" s="11">
        <v>-81.468162000000007</v>
      </c>
      <c r="T163" s="11" t="s">
        <v>2057</v>
      </c>
      <c r="U163" s="11" t="s">
        <v>2058</v>
      </c>
      <c r="V163" s="17" t="s">
        <v>2059</v>
      </c>
      <c r="W163" s="17" t="s">
        <v>110</v>
      </c>
      <c r="X163" s="70">
        <v>40</v>
      </c>
      <c r="Y163" s="71"/>
      <c r="Z163" s="13">
        <v>19456</v>
      </c>
      <c r="AA163" s="13">
        <v>19466</v>
      </c>
      <c r="AB163" s="13">
        <v>19509</v>
      </c>
      <c r="AC163" s="13">
        <v>19510</v>
      </c>
      <c r="AD163" s="86">
        <v>6098</v>
      </c>
      <c r="AE163" s="86">
        <v>6098</v>
      </c>
      <c r="AF163" s="71" t="s">
        <v>94</v>
      </c>
      <c r="AG163" s="23" t="s">
        <v>2060</v>
      </c>
      <c r="AH163" s="23" t="s">
        <v>2061</v>
      </c>
      <c r="AI163" s="71" t="s">
        <v>94</v>
      </c>
      <c r="AJ163" s="23" t="s">
        <v>94</v>
      </c>
      <c r="AK163" s="23" t="s">
        <v>95</v>
      </c>
      <c r="AL163" s="23" t="s">
        <v>94</v>
      </c>
      <c r="AM163" s="23" t="s">
        <v>94</v>
      </c>
      <c r="AN163" s="23" t="s">
        <v>94</v>
      </c>
      <c r="AO163" s="17" t="s">
        <v>98</v>
      </c>
      <c r="AP163" s="17" t="s">
        <v>98</v>
      </c>
      <c r="AQ163" s="17" t="s">
        <v>98</v>
      </c>
      <c r="AR163" s="23" t="s">
        <v>94</v>
      </c>
      <c r="AS163" s="23" t="s">
        <v>2062</v>
      </c>
      <c r="AT163" s="17"/>
      <c r="AU163" s="30" t="s">
        <v>2063</v>
      </c>
      <c r="AV163" s="14">
        <v>3053</v>
      </c>
      <c r="AW163" s="74"/>
      <c r="AX163" s="1"/>
      <c r="AY163" s="17" t="s">
        <v>101</v>
      </c>
    </row>
    <row r="164" spans="1:51" ht="12.75" customHeight="1" x14ac:dyDescent="0.25">
      <c r="A164" s="5">
        <v>163</v>
      </c>
      <c r="B164" s="9">
        <v>163</v>
      </c>
      <c r="C164" s="9" t="s">
        <v>2064</v>
      </c>
      <c r="D164" s="57" t="str">
        <f>HYPERLINK("http://prodenv.dep.state.fl.us/DepNexus/public/electronic-documents/OG_163/facility!search","OG_163_Docs")</f>
        <v>OG_163_Docs</v>
      </c>
      <c r="E164" s="57" t="str">
        <f>HYPERLINK("https://ca.dep.state.fl.us/mapdirect/?focus=oilandgas&amp;zoom=query&amp;querytype=oilandgas&amp;queryvalues=OG_163","OG_163_Map")</f>
        <v>OG_163_Map</v>
      </c>
      <c r="F164" s="1" t="s">
        <v>1752</v>
      </c>
      <c r="G164" s="1" t="s">
        <v>79</v>
      </c>
      <c r="H164" s="1" t="s">
        <v>1740</v>
      </c>
      <c r="I164" s="1" t="s">
        <v>2065</v>
      </c>
      <c r="J164" s="17" t="s">
        <v>82</v>
      </c>
      <c r="K164" s="17" t="s">
        <v>83</v>
      </c>
      <c r="L164" s="17"/>
      <c r="M164" s="17"/>
      <c r="N164" s="52" t="s">
        <v>86</v>
      </c>
      <c r="O164" s="17" t="s">
        <v>86</v>
      </c>
      <c r="P164" s="17" t="s">
        <v>86</v>
      </c>
      <c r="Q164" s="81" t="s">
        <v>2066</v>
      </c>
      <c r="R164" s="11">
        <v>26.541121</v>
      </c>
      <c r="S164" s="11">
        <v>-81.468607000000006</v>
      </c>
      <c r="T164" s="11" t="s">
        <v>2067</v>
      </c>
      <c r="U164" s="11" t="s">
        <v>2068</v>
      </c>
      <c r="V164" s="17" t="s">
        <v>835</v>
      </c>
      <c r="W164" s="17" t="s">
        <v>110</v>
      </c>
      <c r="X164" s="70">
        <v>40</v>
      </c>
      <c r="Y164" s="71"/>
      <c r="Z164" s="13">
        <v>19456</v>
      </c>
      <c r="AA164" s="13">
        <v>19518</v>
      </c>
      <c r="AB164" s="26">
        <v>19534</v>
      </c>
      <c r="AC164" s="26">
        <v>19890</v>
      </c>
      <c r="AD164" s="86">
        <v>2445</v>
      </c>
      <c r="AE164" s="86">
        <v>2445</v>
      </c>
      <c r="AF164" s="71" t="s">
        <v>2069</v>
      </c>
      <c r="AG164" s="23" t="s">
        <v>2070</v>
      </c>
      <c r="AH164" s="23" t="s">
        <v>94</v>
      </c>
      <c r="AI164" s="71" t="s">
        <v>94</v>
      </c>
      <c r="AJ164" s="23" t="s">
        <v>94</v>
      </c>
      <c r="AK164" s="23" t="s">
        <v>95</v>
      </c>
      <c r="AL164" s="23" t="s">
        <v>94</v>
      </c>
      <c r="AM164" s="23" t="s">
        <v>94</v>
      </c>
      <c r="AN164" s="23" t="s">
        <v>94</v>
      </c>
      <c r="AO164" s="17" t="s">
        <v>98</v>
      </c>
      <c r="AP164" s="17" t="s">
        <v>98</v>
      </c>
      <c r="AQ164" s="17" t="s">
        <v>98</v>
      </c>
      <c r="AR164" s="23" t="s">
        <v>94</v>
      </c>
      <c r="AS164" s="23" t="s">
        <v>2071</v>
      </c>
      <c r="AT164" s="17"/>
      <c r="AU164" s="30" t="s">
        <v>2072</v>
      </c>
      <c r="AV164" s="14">
        <v>3201</v>
      </c>
      <c r="AW164" s="74"/>
      <c r="AX164" s="24" t="s">
        <v>2073</v>
      </c>
      <c r="AY164" s="17" t="s">
        <v>101</v>
      </c>
    </row>
    <row r="165" spans="1:51" ht="12.75" customHeight="1" x14ac:dyDescent="0.25">
      <c r="A165" s="5">
        <v>164</v>
      </c>
      <c r="B165" s="9">
        <v>164</v>
      </c>
      <c r="C165" s="9" t="s">
        <v>2074</v>
      </c>
      <c r="D165" s="57" t="str">
        <f>HYPERLINK("http://prodenv.dep.state.fl.us/DepNexus/public/electronic-documents/OG_164/facility!search","OG_164_Docs")</f>
        <v>OG_164_Docs</v>
      </c>
      <c r="E165" s="57" t="str">
        <f>HYPERLINK("https://ca.dep.state.fl.us/mapdirect/?focus=oilandgas&amp;zoom=query&amp;querytype=oilandgas&amp;queryvalues=OG_164","OG_164_Map")</f>
        <v>OG_164_Map</v>
      </c>
      <c r="F165" s="1" t="s">
        <v>971</v>
      </c>
      <c r="G165" s="1" t="s">
        <v>79</v>
      </c>
      <c r="H165" s="1" t="s">
        <v>1970</v>
      </c>
      <c r="I165" s="1" t="s">
        <v>2075</v>
      </c>
      <c r="J165" s="17" t="s">
        <v>82</v>
      </c>
      <c r="K165" s="17" t="s">
        <v>83</v>
      </c>
      <c r="L165" s="17"/>
      <c r="M165" s="17"/>
      <c r="N165" s="52" t="s">
        <v>2076</v>
      </c>
      <c r="O165" s="17" t="s">
        <v>86</v>
      </c>
      <c r="P165" s="17" t="s">
        <v>86</v>
      </c>
      <c r="Q165" s="81" t="s">
        <v>2077</v>
      </c>
      <c r="R165" s="11">
        <v>30.47409</v>
      </c>
      <c r="S165" s="11">
        <v>-85.728900999999993</v>
      </c>
      <c r="T165" s="11" t="s">
        <v>2078</v>
      </c>
      <c r="U165" s="11" t="s">
        <v>2079</v>
      </c>
      <c r="V165" s="23" t="s">
        <v>2080</v>
      </c>
      <c r="W165" s="17" t="s">
        <v>110</v>
      </c>
      <c r="X165" s="70">
        <v>130.9</v>
      </c>
      <c r="Y165" s="70">
        <v>125.9</v>
      </c>
      <c r="Z165" s="13">
        <v>19470</v>
      </c>
      <c r="AA165" s="13">
        <v>19479</v>
      </c>
      <c r="AB165" s="13">
        <v>19494</v>
      </c>
      <c r="AC165" s="13">
        <v>19494</v>
      </c>
      <c r="AD165" s="86">
        <v>5024</v>
      </c>
      <c r="AE165" s="86">
        <v>5024</v>
      </c>
      <c r="AF165" s="71" t="s">
        <v>94</v>
      </c>
      <c r="AG165" s="23" t="s">
        <v>2081</v>
      </c>
      <c r="AH165" s="23" t="s">
        <v>94</v>
      </c>
      <c r="AI165" s="71" t="s">
        <v>94</v>
      </c>
      <c r="AJ165" s="23" t="s">
        <v>94</v>
      </c>
      <c r="AK165" s="23" t="s">
        <v>95</v>
      </c>
      <c r="AL165" s="23" t="s">
        <v>2082</v>
      </c>
      <c r="AM165" s="23" t="s">
        <v>94</v>
      </c>
      <c r="AN165" s="23" t="s">
        <v>94</v>
      </c>
      <c r="AO165" s="17" t="s">
        <v>98</v>
      </c>
      <c r="AP165" s="17" t="s">
        <v>98</v>
      </c>
      <c r="AQ165" s="17" t="s">
        <v>98</v>
      </c>
      <c r="AR165" s="23" t="s">
        <v>94</v>
      </c>
      <c r="AS165" s="23" t="s">
        <v>2083</v>
      </c>
      <c r="AT165" s="17"/>
      <c r="AU165" s="30" t="s">
        <v>2084</v>
      </c>
      <c r="AV165" s="14">
        <v>2926</v>
      </c>
      <c r="AW165" s="74"/>
      <c r="AX165" s="1"/>
      <c r="AY165" s="17" t="s">
        <v>101</v>
      </c>
    </row>
    <row r="166" spans="1:51" ht="12.75" customHeight="1" x14ac:dyDescent="0.25">
      <c r="A166" s="5">
        <v>165</v>
      </c>
      <c r="B166" s="9">
        <v>165</v>
      </c>
      <c r="C166" s="9" t="s">
        <v>2085</v>
      </c>
      <c r="D166" s="57" t="str">
        <f>HYPERLINK("http://prodenv.dep.state.fl.us/DepNexus/public/electronic-documents/OG_165/facility!search","OG_165_Docs")</f>
        <v>OG_165_Docs</v>
      </c>
      <c r="E166" s="57" t="str">
        <f>HYPERLINK("https://ca.dep.state.fl.us/mapdirect/?focus=oilandgas&amp;zoom=query&amp;querytype=oilandgas&amp;queryvalues=OG_165","OG_165_Map")</f>
        <v>OG_165_Map</v>
      </c>
      <c r="F166" s="1" t="s">
        <v>1797</v>
      </c>
      <c r="G166" s="1" t="s">
        <v>79</v>
      </c>
      <c r="H166" s="1" t="s">
        <v>1129</v>
      </c>
      <c r="I166" s="1" t="s">
        <v>2086</v>
      </c>
      <c r="J166" s="17" t="s">
        <v>82</v>
      </c>
      <c r="K166" s="17" t="s">
        <v>83</v>
      </c>
      <c r="L166" s="17"/>
      <c r="M166" s="17"/>
      <c r="N166" s="52" t="s">
        <v>130</v>
      </c>
      <c r="O166" s="17" t="s">
        <v>1962</v>
      </c>
      <c r="P166" s="17" t="s">
        <v>86</v>
      </c>
      <c r="Q166" s="81" t="s">
        <v>2087</v>
      </c>
      <c r="R166" s="11">
        <v>30.901371999999999</v>
      </c>
      <c r="S166" s="11">
        <v>-86.881009000000006</v>
      </c>
      <c r="T166" s="11" t="s">
        <v>2088</v>
      </c>
      <c r="U166" s="11" t="s">
        <v>2089</v>
      </c>
      <c r="V166" s="17" t="s">
        <v>998</v>
      </c>
      <c r="W166" s="17" t="s">
        <v>110</v>
      </c>
      <c r="X166" s="70">
        <v>163.5</v>
      </c>
      <c r="Y166" s="70">
        <v>153.19999999999999</v>
      </c>
      <c r="Z166" s="13">
        <v>19477</v>
      </c>
      <c r="AA166" s="13">
        <v>19524</v>
      </c>
      <c r="AB166" s="13">
        <v>19534</v>
      </c>
      <c r="AC166" s="13">
        <v>19535</v>
      </c>
      <c r="AD166" s="86">
        <v>6380</v>
      </c>
      <c r="AE166" s="86">
        <v>6380</v>
      </c>
      <c r="AF166" s="71" t="s">
        <v>94</v>
      </c>
      <c r="AG166" s="23" t="s">
        <v>2090</v>
      </c>
      <c r="AH166" s="23" t="s">
        <v>94</v>
      </c>
      <c r="AI166" s="71" t="s">
        <v>94</v>
      </c>
      <c r="AJ166" s="23" t="s">
        <v>94</v>
      </c>
      <c r="AK166" s="23" t="s">
        <v>95</v>
      </c>
      <c r="AL166" s="23" t="s">
        <v>94</v>
      </c>
      <c r="AM166" s="23" t="s">
        <v>94</v>
      </c>
      <c r="AN166" s="23" t="s">
        <v>94</v>
      </c>
      <c r="AO166" s="17" t="s">
        <v>98</v>
      </c>
      <c r="AP166" s="17" t="s">
        <v>98</v>
      </c>
      <c r="AQ166" s="17" t="s">
        <v>98</v>
      </c>
      <c r="AR166" s="23" t="s">
        <v>94</v>
      </c>
      <c r="AS166" s="23" t="s">
        <v>2091</v>
      </c>
      <c r="AT166" s="17"/>
      <c r="AU166" s="30" t="s">
        <v>2092</v>
      </c>
      <c r="AV166" s="14">
        <v>2963</v>
      </c>
      <c r="AW166" s="74"/>
      <c r="AX166" s="1"/>
      <c r="AY166" s="17" t="s">
        <v>101</v>
      </c>
    </row>
    <row r="167" spans="1:51" ht="12.75" customHeight="1" x14ac:dyDescent="0.25">
      <c r="A167" s="5">
        <v>166</v>
      </c>
      <c r="B167" s="9">
        <v>166</v>
      </c>
      <c r="C167" s="9" t="s">
        <v>2093</v>
      </c>
      <c r="D167" s="57" t="str">
        <f>HYPERLINK("http://prodenv.dep.state.fl.us/DepNexus/public/electronic-documents/OG_166/facility!search","OG_166_Docs")</f>
        <v>OG_166_Docs</v>
      </c>
      <c r="E167" s="57" t="str">
        <f>HYPERLINK("https://ca.dep.state.fl.us/mapdirect/?focus=oilandgas&amp;zoom=query&amp;querytype=oilandgas&amp;queryvalues=OG_166","OG_166_Map")</f>
        <v>OG_166_Map</v>
      </c>
      <c r="F167" s="1" t="s">
        <v>1797</v>
      </c>
      <c r="G167" s="1" t="s">
        <v>79</v>
      </c>
      <c r="H167" s="1" t="s">
        <v>2094</v>
      </c>
      <c r="I167" s="1" t="s">
        <v>2095</v>
      </c>
      <c r="J167" s="17" t="s">
        <v>82</v>
      </c>
      <c r="K167" s="17" t="s">
        <v>83</v>
      </c>
      <c r="L167" s="17"/>
      <c r="M167" s="17"/>
      <c r="N167" s="52" t="s">
        <v>130</v>
      </c>
      <c r="O167" s="17" t="s">
        <v>1962</v>
      </c>
      <c r="P167" s="17" t="s">
        <v>86</v>
      </c>
      <c r="Q167" s="81" t="s">
        <v>2096</v>
      </c>
      <c r="R167" s="11">
        <v>30.795559999999998</v>
      </c>
      <c r="S167" s="11">
        <v>-86.895004999999998</v>
      </c>
      <c r="T167" s="11" t="s">
        <v>2097</v>
      </c>
      <c r="U167" s="11" t="s">
        <v>2098</v>
      </c>
      <c r="V167" s="17" t="s">
        <v>1899</v>
      </c>
      <c r="W167" s="17" t="s">
        <v>110</v>
      </c>
      <c r="X167" s="70">
        <v>130</v>
      </c>
      <c r="Y167" s="70">
        <v>122.6</v>
      </c>
      <c r="Z167" s="13">
        <v>19592</v>
      </c>
      <c r="AA167" s="13">
        <v>19608</v>
      </c>
      <c r="AB167" s="13">
        <v>19621</v>
      </c>
      <c r="AC167" s="13">
        <v>19621</v>
      </c>
      <c r="AD167" s="86">
        <v>6500</v>
      </c>
      <c r="AE167" s="86">
        <v>6500</v>
      </c>
      <c r="AF167" s="71" t="s">
        <v>94</v>
      </c>
      <c r="AG167" s="23" t="s">
        <v>2099</v>
      </c>
      <c r="AH167" s="23" t="s">
        <v>94</v>
      </c>
      <c r="AI167" s="71" t="s">
        <v>94</v>
      </c>
      <c r="AJ167" s="23" t="s">
        <v>94</v>
      </c>
      <c r="AK167" s="23" t="s">
        <v>95</v>
      </c>
      <c r="AL167" s="23" t="s">
        <v>94</v>
      </c>
      <c r="AM167" s="23" t="s">
        <v>94</v>
      </c>
      <c r="AN167" s="23" t="s">
        <v>94</v>
      </c>
      <c r="AO167" s="17" t="s">
        <v>98</v>
      </c>
      <c r="AP167" s="17" t="s">
        <v>98</v>
      </c>
      <c r="AQ167" s="17" t="s">
        <v>98</v>
      </c>
      <c r="AR167" s="23" t="s">
        <v>94</v>
      </c>
      <c r="AS167" s="23" t="s">
        <v>2100</v>
      </c>
      <c r="AT167" s="17"/>
      <c r="AU167" s="30" t="s">
        <v>2101</v>
      </c>
      <c r="AV167" s="14">
        <v>3071</v>
      </c>
      <c r="AW167" s="74"/>
      <c r="AX167" s="1"/>
      <c r="AY167" s="17" t="s">
        <v>101</v>
      </c>
    </row>
    <row r="168" spans="1:51" ht="15" customHeight="1" x14ac:dyDescent="0.25">
      <c r="A168" s="5">
        <v>167</v>
      </c>
      <c r="B168" s="9">
        <v>167</v>
      </c>
      <c r="C168" s="9" t="s">
        <v>2102</v>
      </c>
      <c r="D168" s="57" t="str">
        <f>HYPERLINK("http://prodenv.dep.state.fl.us/DepNexus/public/electronic-documents/OG_167/facility!search","OG_167_Docs")</f>
        <v>OG_167_Docs</v>
      </c>
      <c r="E168" s="57" t="str">
        <f>HYPERLINK("https://ca.dep.state.fl.us/mapdirect/?focus=oilandgas&amp;zoom=query&amp;querytype=oilandgas&amp;queryvalues=OG_167","OG_167_Map")</f>
        <v>OG_167_Map</v>
      </c>
      <c r="F168" s="1" t="s">
        <v>204</v>
      </c>
      <c r="G168" s="1" t="s">
        <v>2103</v>
      </c>
      <c r="H168" s="1" t="s">
        <v>229</v>
      </c>
      <c r="I168" s="1" t="s">
        <v>2104</v>
      </c>
      <c r="J168" s="17" t="s">
        <v>268</v>
      </c>
      <c r="K168" s="17" t="s">
        <v>2105</v>
      </c>
      <c r="L168" s="17"/>
      <c r="M168" s="17" t="s">
        <v>101</v>
      </c>
      <c r="N168" s="52" t="s">
        <v>130</v>
      </c>
      <c r="O168" s="17" t="s">
        <v>86</v>
      </c>
      <c r="P168" s="17" t="s">
        <v>86</v>
      </c>
      <c r="Q168" s="81" t="s">
        <v>2106</v>
      </c>
      <c r="R168" s="11">
        <v>25.764437999999998</v>
      </c>
      <c r="S168" s="11">
        <v>-80.830809000000002</v>
      </c>
      <c r="T168" s="11" t="s">
        <v>2107</v>
      </c>
      <c r="U168" s="11" t="s">
        <v>2108</v>
      </c>
      <c r="V168" s="17" t="s">
        <v>2109</v>
      </c>
      <c r="W168" s="17" t="s">
        <v>110</v>
      </c>
      <c r="X168" s="70">
        <v>19.899999999999999</v>
      </c>
      <c r="Y168" s="70">
        <v>9.1999999999999993</v>
      </c>
      <c r="Z168" s="13">
        <v>19512</v>
      </c>
      <c r="AA168" s="13">
        <v>19565</v>
      </c>
      <c r="AB168" s="13">
        <v>19756</v>
      </c>
      <c r="AC168" s="13">
        <v>20541</v>
      </c>
      <c r="AD168" s="86">
        <v>11557</v>
      </c>
      <c r="AE168" s="86">
        <v>11557</v>
      </c>
      <c r="AF168" s="70" t="s">
        <v>2110</v>
      </c>
      <c r="AG168" s="17" t="s">
        <v>2111</v>
      </c>
      <c r="AH168" s="17" t="s">
        <v>2112</v>
      </c>
      <c r="AI168" s="71" t="s">
        <v>2113</v>
      </c>
      <c r="AJ168" s="17" t="s">
        <v>2114</v>
      </c>
      <c r="AK168" s="23" t="s">
        <v>95</v>
      </c>
      <c r="AL168" s="17" t="s">
        <v>2115</v>
      </c>
      <c r="AM168" s="17" t="s">
        <v>95</v>
      </c>
      <c r="AN168" s="23" t="s">
        <v>2116</v>
      </c>
      <c r="AO168" s="23" t="s">
        <v>2117</v>
      </c>
      <c r="AP168" s="17" t="s">
        <v>2118</v>
      </c>
      <c r="AQ168" s="17" t="s">
        <v>2119</v>
      </c>
      <c r="AR168" s="17" t="s">
        <v>2120</v>
      </c>
      <c r="AS168" s="23" t="s">
        <v>2121</v>
      </c>
      <c r="AT168" s="17">
        <v>226</v>
      </c>
      <c r="AU168" s="30" t="s">
        <v>2122</v>
      </c>
      <c r="AV168" s="14">
        <v>3054</v>
      </c>
      <c r="AW168" s="74"/>
      <c r="AX168" s="38" t="s">
        <v>2123</v>
      </c>
      <c r="AY168" s="17" t="s">
        <v>101</v>
      </c>
    </row>
    <row r="169" spans="1:51" ht="12.75" customHeight="1" x14ac:dyDescent="0.25">
      <c r="A169" s="5">
        <v>168</v>
      </c>
      <c r="B169" s="9">
        <v>168</v>
      </c>
      <c r="C169" s="9" t="s">
        <v>2124</v>
      </c>
      <c r="D169" s="57" t="str">
        <f>HYPERLINK("http://prodenv.dep.state.fl.us/DepNexus/public/electronic-documents/OG_168/facility!search","OG_168_Docs")</f>
        <v>OG_168_Docs</v>
      </c>
      <c r="E169" s="57" t="str">
        <f>HYPERLINK("https://ca.dep.state.fl.us/mapdirect/?focus=oilandgas&amp;zoom=query&amp;querytype=oilandgas&amp;queryvalues=OG_168","OG_168_Map")</f>
        <v>OG_168_Map</v>
      </c>
      <c r="F169" s="1" t="s">
        <v>314</v>
      </c>
      <c r="G169" s="1" t="s">
        <v>79</v>
      </c>
      <c r="H169" s="1" t="s">
        <v>1970</v>
      </c>
      <c r="I169" s="1" t="s">
        <v>2125</v>
      </c>
      <c r="J169" s="17" t="s">
        <v>82</v>
      </c>
      <c r="K169" s="17" t="s">
        <v>83</v>
      </c>
      <c r="L169" s="17"/>
      <c r="M169" s="17" t="s">
        <v>101</v>
      </c>
      <c r="N169" s="52" t="s">
        <v>130</v>
      </c>
      <c r="O169" s="17" t="s">
        <v>86</v>
      </c>
      <c r="P169" s="17" t="s">
        <v>86</v>
      </c>
      <c r="Q169" s="81" t="s">
        <v>2126</v>
      </c>
      <c r="R169" s="11">
        <v>30.818788000000001</v>
      </c>
      <c r="S169" s="11">
        <v>-86.237703999999994</v>
      </c>
      <c r="T169" s="11" t="s">
        <v>2127</v>
      </c>
      <c r="U169" s="11" t="s">
        <v>2128</v>
      </c>
      <c r="V169" s="17" t="s">
        <v>1145</v>
      </c>
      <c r="W169" s="17" t="s">
        <v>110</v>
      </c>
      <c r="X169" s="70">
        <v>250</v>
      </c>
      <c r="Y169" s="70">
        <v>244.8</v>
      </c>
      <c r="Z169" s="13">
        <v>19519</v>
      </c>
      <c r="AA169" s="13">
        <v>19499</v>
      </c>
      <c r="AB169" s="13">
        <v>19515</v>
      </c>
      <c r="AC169" s="13">
        <v>19516</v>
      </c>
      <c r="AD169" s="86">
        <v>5125</v>
      </c>
      <c r="AE169" s="86">
        <v>5125</v>
      </c>
      <c r="AF169" s="71" t="s">
        <v>94</v>
      </c>
      <c r="AG169" s="23" t="s">
        <v>2129</v>
      </c>
      <c r="AH169" s="17" t="s">
        <v>94</v>
      </c>
      <c r="AI169" s="70" t="s">
        <v>94</v>
      </c>
      <c r="AJ169" s="17" t="s">
        <v>94</v>
      </c>
      <c r="AK169" s="17" t="s">
        <v>95</v>
      </c>
      <c r="AL169" s="23" t="s">
        <v>2130</v>
      </c>
      <c r="AM169" s="17" t="s">
        <v>94</v>
      </c>
      <c r="AN169" s="17" t="s">
        <v>94</v>
      </c>
      <c r="AO169" s="17" t="s">
        <v>98</v>
      </c>
      <c r="AP169" s="17" t="s">
        <v>98</v>
      </c>
      <c r="AQ169" s="17" t="s">
        <v>98</v>
      </c>
      <c r="AR169" s="17" t="s">
        <v>94</v>
      </c>
      <c r="AS169" s="23" t="s">
        <v>2131</v>
      </c>
      <c r="AT169" s="17">
        <v>131</v>
      </c>
      <c r="AU169" s="30" t="s">
        <v>2132</v>
      </c>
      <c r="AV169" s="14">
        <v>2945</v>
      </c>
      <c r="AW169" s="74"/>
      <c r="AX169" s="1"/>
      <c r="AY169" s="17" t="s">
        <v>101</v>
      </c>
    </row>
    <row r="170" spans="1:51" ht="12.75" customHeight="1" x14ac:dyDescent="0.25">
      <c r="A170" s="5">
        <v>169</v>
      </c>
      <c r="B170" s="9">
        <v>169</v>
      </c>
      <c r="C170" s="9" t="s">
        <v>2133</v>
      </c>
      <c r="D170" s="57" t="str">
        <f>HYPERLINK("http://prodenv.dep.state.fl.us/DepNexus/public/electronic-documents/OG_169/facility!search","OG_169_Docs")</f>
        <v>OG_169_Docs</v>
      </c>
      <c r="E170" s="57" t="str">
        <f>HYPERLINK("https://ca.dep.state.fl.us/mapdirect/?focus=oilandgas&amp;zoom=query&amp;querytype=oilandgas&amp;queryvalues=OG_169","OG_169_Map")</f>
        <v>OG_169_Map</v>
      </c>
      <c r="F170" s="1" t="s">
        <v>314</v>
      </c>
      <c r="G170" s="1" t="s">
        <v>79</v>
      </c>
      <c r="H170" s="1" t="s">
        <v>1970</v>
      </c>
      <c r="I170" s="1" t="s">
        <v>2134</v>
      </c>
      <c r="J170" s="17" t="s">
        <v>82</v>
      </c>
      <c r="K170" s="17" t="s">
        <v>83</v>
      </c>
      <c r="L170" s="17"/>
      <c r="M170" s="17" t="s">
        <v>101</v>
      </c>
      <c r="N170" s="52" t="s">
        <v>130</v>
      </c>
      <c r="O170" s="17" t="s">
        <v>86</v>
      </c>
      <c r="P170" s="17" t="s">
        <v>86</v>
      </c>
      <c r="Q170" s="81" t="s">
        <v>2135</v>
      </c>
      <c r="R170" s="11">
        <v>30.762626000000001</v>
      </c>
      <c r="S170" s="11">
        <v>-86.136989</v>
      </c>
      <c r="T170" s="11" t="s">
        <v>2136</v>
      </c>
      <c r="U170" s="11" t="s">
        <v>2137</v>
      </c>
      <c r="V170" s="17" t="s">
        <v>809</v>
      </c>
      <c r="W170" s="17" t="s">
        <v>110</v>
      </c>
      <c r="X170" s="70">
        <v>227.1</v>
      </c>
      <c r="Y170" s="70">
        <v>222.7</v>
      </c>
      <c r="Z170" s="13">
        <v>19519</v>
      </c>
      <c r="AA170" s="13">
        <v>19520</v>
      </c>
      <c r="AB170" s="13">
        <v>19536</v>
      </c>
      <c r="AC170" s="13">
        <v>19537</v>
      </c>
      <c r="AD170" s="86">
        <v>4974</v>
      </c>
      <c r="AE170" s="86">
        <v>4974</v>
      </c>
      <c r="AF170" s="71" t="s">
        <v>94</v>
      </c>
      <c r="AG170" s="23" t="s">
        <v>2138</v>
      </c>
      <c r="AH170" s="17" t="s">
        <v>94</v>
      </c>
      <c r="AI170" s="70" t="s">
        <v>94</v>
      </c>
      <c r="AJ170" s="17" t="s">
        <v>94</v>
      </c>
      <c r="AK170" s="17" t="s">
        <v>95</v>
      </c>
      <c r="AL170" s="23" t="s">
        <v>2139</v>
      </c>
      <c r="AM170" s="17" t="s">
        <v>94</v>
      </c>
      <c r="AN170" s="17" t="s">
        <v>94</v>
      </c>
      <c r="AO170" s="17" t="s">
        <v>98</v>
      </c>
      <c r="AP170" s="17" t="s">
        <v>98</v>
      </c>
      <c r="AQ170" s="17" t="s">
        <v>98</v>
      </c>
      <c r="AR170" s="17" t="s">
        <v>94</v>
      </c>
      <c r="AS170" s="23" t="s">
        <v>2140</v>
      </c>
      <c r="AT170" s="17">
        <v>126</v>
      </c>
      <c r="AU170" s="30" t="s">
        <v>2141</v>
      </c>
      <c r="AV170" s="14">
        <v>2962</v>
      </c>
      <c r="AW170" s="74"/>
      <c r="AX170" s="1"/>
      <c r="AY170" s="17" t="s">
        <v>101</v>
      </c>
    </row>
    <row r="171" spans="1:51" ht="12.75" customHeight="1" x14ac:dyDescent="0.25">
      <c r="A171" s="5">
        <v>170</v>
      </c>
      <c r="B171" s="9">
        <v>170</v>
      </c>
      <c r="C171" s="9" t="s">
        <v>2142</v>
      </c>
      <c r="D171" s="57" t="str">
        <f>HYPERLINK("http://prodenv.dep.state.fl.us/DepNexus/public/electronic-documents/OG_170/facility!search","OG_170_Docs")</f>
        <v>OG_170_Docs</v>
      </c>
      <c r="E171" s="57" t="str">
        <f>HYPERLINK("https://ca.dep.state.fl.us/mapdirect/?focus=oilandgas&amp;zoom=query&amp;querytype=oilandgas&amp;queryvalues=OG_170","OG_170_Map")</f>
        <v>OG_170_Map</v>
      </c>
      <c r="F171" s="1" t="s">
        <v>1012</v>
      </c>
      <c r="G171" s="1" t="s">
        <v>79</v>
      </c>
      <c r="H171" s="1" t="s">
        <v>1633</v>
      </c>
      <c r="I171" s="1" t="s">
        <v>2143</v>
      </c>
      <c r="J171" s="17" t="s">
        <v>82</v>
      </c>
      <c r="K171" s="17" t="s">
        <v>83</v>
      </c>
      <c r="L171" s="17"/>
      <c r="M171" s="17"/>
      <c r="N171" s="52" t="s">
        <v>86</v>
      </c>
      <c r="O171" s="17" t="s">
        <v>86</v>
      </c>
      <c r="P171" s="17" t="s">
        <v>86</v>
      </c>
      <c r="Q171" s="81" t="s">
        <v>2144</v>
      </c>
      <c r="R171" s="11">
        <v>28.151405</v>
      </c>
      <c r="S171" s="11">
        <v>-82.699704999999994</v>
      </c>
      <c r="T171" s="11" t="s">
        <v>2145</v>
      </c>
      <c r="U171" s="11" t="s">
        <v>2146</v>
      </c>
      <c r="V171" s="17" t="s">
        <v>2147</v>
      </c>
      <c r="W171" s="17" t="s">
        <v>110</v>
      </c>
      <c r="X171" s="70">
        <v>20</v>
      </c>
      <c r="Y171" s="70">
        <v>18</v>
      </c>
      <c r="Z171" s="37">
        <v>19540</v>
      </c>
      <c r="AA171" s="13">
        <v>21374</v>
      </c>
      <c r="AB171" s="13">
        <v>21655</v>
      </c>
      <c r="AC171" s="13">
        <v>21655</v>
      </c>
      <c r="AD171" s="86">
        <v>4103</v>
      </c>
      <c r="AE171" s="86">
        <v>4103</v>
      </c>
      <c r="AF171" s="70" t="s">
        <v>2148</v>
      </c>
      <c r="AG171" s="17" t="s">
        <v>2149</v>
      </c>
      <c r="AH171" s="17" t="s">
        <v>2150</v>
      </c>
      <c r="AI171" s="70" t="s">
        <v>94</v>
      </c>
      <c r="AJ171" s="23" t="s">
        <v>94</v>
      </c>
      <c r="AK171" s="17" t="s">
        <v>95</v>
      </c>
      <c r="AL171" s="17" t="s">
        <v>94</v>
      </c>
      <c r="AM171" s="17" t="s">
        <v>94</v>
      </c>
      <c r="AN171" s="17" t="s">
        <v>94</v>
      </c>
      <c r="AO171" s="17" t="s">
        <v>98</v>
      </c>
      <c r="AP171" s="17" t="s">
        <v>98</v>
      </c>
      <c r="AQ171" s="17" t="s">
        <v>98</v>
      </c>
      <c r="AR171" s="17" t="s">
        <v>94</v>
      </c>
      <c r="AS171" s="17" t="s">
        <v>2151</v>
      </c>
      <c r="AT171" s="17"/>
      <c r="AU171" s="30" t="s">
        <v>2152</v>
      </c>
      <c r="AV171" s="14">
        <v>4505</v>
      </c>
      <c r="AW171" s="74"/>
      <c r="AX171" s="1" t="s">
        <v>2153</v>
      </c>
      <c r="AY171" s="17" t="s">
        <v>101</v>
      </c>
    </row>
    <row r="172" spans="1:51" ht="12.75" customHeight="1" x14ac:dyDescent="0.25">
      <c r="A172" s="5">
        <v>171</v>
      </c>
      <c r="B172" s="9">
        <v>171</v>
      </c>
      <c r="C172" s="9" t="s">
        <v>2154</v>
      </c>
      <c r="D172" s="57" t="str">
        <f>HYPERLINK("http://prodenv.dep.state.fl.us/DepNexus/public/electronic-documents/OG_171/facility!search","OG_171_Docs")</f>
        <v>OG_171_Docs</v>
      </c>
      <c r="E172" s="57" t="str">
        <f>HYPERLINK("https://ca.dep.state.fl.us/mapdirect/?focus=oilandgas&amp;zoom=query&amp;querytype=oilandgas&amp;queryvalues=OG_171","OG_171_Map")</f>
        <v>OG_171_Map</v>
      </c>
      <c r="F172" s="1" t="s">
        <v>1752</v>
      </c>
      <c r="G172" s="1" t="s">
        <v>79</v>
      </c>
      <c r="H172" s="1" t="s">
        <v>176</v>
      </c>
      <c r="I172" s="1" t="s">
        <v>2155</v>
      </c>
      <c r="J172" s="17" t="s">
        <v>82</v>
      </c>
      <c r="K172" s="17" t="s">
        <v>83</v>
      </c>
      <c r="L172" s="17"/>
      <c r="M172" s="17"/>
      <c r="N172" s="52" t="s">
        <v>130</v>
      </c>
      <c r="O172" s="17" t="s">
        <v>270</v>
      </c>
      <c r="P172" s="17" t="s">
        <v>86</v>
      </c>
      <c r="Q172" s="81" t="s">
        <v>1754</v>
      </c>
      <c r="R172" s="11">
        <v>26.387816000000001</v>
      </c>
      <c r="S172" s="11">
        <v>-81.192441000000002</v>
      </c>
      <c r="T172" s="11" t="s">
        <v>2156</v>
      </c>
      <c r="U172" s="11" t="s">
        <v>2157</v>
      </c>
      <c r="V172" s="17" t="s">
        <v>652</v>
      </c>
      <c r="W172" s="17" t="s">
        <v>110</v>
      </c>
      <c r="X172" s="70">
        <v>40</v>
      </c>
      <c r="Y172" s="70"/>
      <c r="Z172" s="13">
        <v>19554</v>
      </c>
      <c r="AA172" s="13">
        <v>19624</v>
      </c>
      <c r="AB172" s="13">
        <v>19681</v>
      </c>
      <c r="AC172" s="13">
        <v>19681</v>
      </c>
      <c r="AD172" s="86">
        <v>8493</v>
      </c>
      <c r="AE172" s="86">
        <v>8493</v>
      </c>
      <c r="AF172" s="70" t="s">
        <v>2158</v>
      </c>
      <c r="AG172" s="17" t="s">
        <v>2159</v>
      </c>
      <c r="AH172" s="17" t="s">
        <v>2160</v>
      </c>
      <c r="AI172" s="70" t="s">
        <v>94</v>
      </c>
      <c r="AJ172" s="17" t="s">
        <v>94</v>
      </c>
      <c r="AK172" s="17" t="s">
        <v>95</v>
      </c>
      <c r="AL172" s="17" t="s">
        <v>2161</v>
      </c>
      <c r="AM172" s="17" t="s">
        <v>94</v>
      </c>
      <c r="AN172" s="17" t="s">
        <v>2162</v>
      </c>
      <c r="AO172" s="17" t="s">
        <v>98</v>
      </c>
      <c r="AP172" s="17" t="s">
        <v>98</v>
      </c>
      <c r="AQ172" s="17" t="s">
        <v>98</v>
      </c>
      <c r="AR172" s="17" t="s">
        <v>94</v>
      </c>
      <c r="AS172" s="17" t="s">
        <v>2163</v>
      </c>
      <c r="AT172" s="17"/>
      <c r="AU172" s="30" t="s">
        <v>2164</v>
      </c>
      <c r="AV172" s="14">
        <v>3065</v>
      </c>
      <c r="AW172" s="74"/>
      <c r="AX172" s="1" t="s">
        <v>2165</v>
      </c>
      <c r="AY172" s="17" t="s">
        <v>101</v>
      </c>
    </row>
    <row r="173" spans="1:51" ht="12.75" customHeight="1" x14ac:dyDescent="0.25">
      <c r="A173" s="5">
        <v>172</v>
      </c>
      <c r="B173" s="9">
        <v>172</v>
      </c>
      <c r="C173" s="9" t="s">
        <v>2166</v>
      </c>
      <c r="D173" s="57" t="str">
        <f>HYPERLINK("http://prodenv.dep.state.fl.us/DepNexus/public/electronic-documents/OG_172/facility!search","OG_172_Docs")</f>
        <v>OG_172_Docs</v>
      </c>
      <c r="E173" s="57" t="str">
        <f>HYPERLINK("https://ca.dep.state.fl.us/mapdirect/?focus=oilandgas&amp;zoom=query&amp;querytype=oilandgas&amp;queryvalues=OG_172","OG_172_Map")</f>
        <v>OG_172_Map</v>
      </c>
      <c r="F173" s="1" t="s">
        <v>151</v>
      </c>
      <c r="G173" s="1" t="s">
        <v>79</v>
      </c>
      <c r="H173" s="1" t="s">
        <v>1970</v>
      </c>
      <c r="I173" s="1" t="s">
        <v>2167</v>
      </c>
      <c r="J173" s="17" t="s">
        <v>82</v>
      </c>
      <c r="K173" s="17" t="s">
        <v>83</v>
      </c>
      <c r="L173" s="17"/>
      <c r="M173" s="17" t="s">
        <v>101</v>
      </c>
      <c r="N173" s="52" t="s">
        <v>130</v>
      </c>
      <c r="O173" s="17" t="s">
        <v>86</v>
      </c>
      <c r="P173" s="17" t="s">
        <v>86</v>
      </c>
      <c r="Q173" s="81" t="s">
        <v>2168</v>
      </c>
      <c r="R173" s="11">
        <v>30.354106000000002</v>
      </c>
      <c r="S173" s="11">
        <v>-85.411618000000004</v>
      </c>
      <c r="T173" s="11" t="s">
        <v>2169</v>
      </c>
      <c r="U173" s="11" t="s">
        <v>2170</v>
      </c>
      <c r="V173" s="17" t="s">
        <v>2080</v>
      </c>
      <c r="W173" s="17" t="s">
        <v>110</v>
      </c>
      <c r="X173" s="70">
        <v>75</v>
      </c>
      <c r="Y173" s="70">
        <v>70</v>
      </c>
      <c r="Z173" s="13">
        <v>19561</v>
      </c>
      <c r="AA173" s="13">
        <v>19556</v>
      </c>
      <c r="AB173" s="13">
        <v>19567</v>
      </c>
      <c r="AC173" s="13">
        <v>19568</v>
      </c>
      <c r="AD173" s="86">
        <v>4834</v>
      </c>
      <c r="AE173" s="86">
        <v>4834</v>
      </c>
      <c r="AF173" s="70" t="s">
        <v>94</v>
      </c>
      <c r="AG173" s="17" t="s">
        <v>2171</v>
      </c>
      <c r="AH173" s="17" t="s">
        <v>94</v>
      </c>
      <c r="AI173" s="70" t="s">
        <v>94</v>
      </c>
      <c r="AJ173" s="17" t="s">
        <v>94</v>
      </c>
      <c r="AK173" s="17" t="s">
        <v>95</v>
      </c>
      <c r="AL173" s="17" t="s">
        <v>2172</v>
      </c>
      <c r="AM173" s="17" t="s">
        <v>94</v>
      </c>
      <c r="AN173" s="17" t="s">
        <v>94</v>
      </c>
      <c r="AO173" s="17" t="s">
        <v>98</v>
      </c>
      <c r="AP173" s="17" t="s">
        <v>98</v>
      </c>
      <c r="AQ173" s="17" t="s">
        <v>98</v>
      </c>
      <c r="AR173" s="17" t="s">
        <v>94</v>
      </c>
      <c r="AS173" s="17" t="s">
        <v>2173</v>
      </c>
      <c r="AT173" s="17">
        <v>132</v>
      </c>
      <c r="AU173" s="30" t="s">
        <v>2174</v>
      </c>
      <c r="AV173" s="14">
        <v>2982</v>
      </c>
      <c r="AW173" s="74"/>
      <c r="AX173" s="1"/>
      <c r="AY173" s="17" t="s">
        <v>101</v>
      </c>
    </row>
    <row r="174" spans="1:51" ht="12.75" customHeight="1" x14ac:dyDescent="0.25">
      <c r="A174" s="5">
        <v>173</v>
      </c>
      <c r="B174" s="9">
        <v>173</v>
      </c>
      <c r="C174" s="9" t="s">
        <v>2175</v>
      </c>
      <c r="D174" s="57" t="str">
        <f>HYPERLINK("http://prodenv.dep.state.fl.us/DepNexus/public/electronic-documents/OG_173/facility!search","OG_173_Docs")</f>
        <v>OG_173_Docs</v>
      </c>
      <c r="E174" s="57" t="str">
        <f>HYPERLINK("https://ca.dep.state.fl.us/mapdirect/?focus=oilandgas&amp;zoom=query&amp;querytype=oilandgas&amp;queryvalues=OG_173","OG_173_Map")</f>
        <v>OG_173_Map</v>
      </c>
      <c r="F174" s="1" t="s">
        <v>151</v>
      </c>
      <c r="G174" s="1" t="s">
        <v>79</v>
      </c>
      <c r="H174" s="1" t="s">
        <v>1970</v>
      </c>
      <c r="I174" s="1" t="s">
        <v>2176</v>
      </c>
      <c r="J174" s="17" t="s">
        <v>82</v>
      </c>
      <c r="K174" s="17" t="s">
        <v>83</v>
      </c>
      <c r="L174" s="17"/>
      <c r="M174" s="17" t="s">
        <v>101</v>
      </c>
      <c r="N174" s="52" t="s">
        <v>130</v>
      </c>
      <c r="O174" s="17" t="s">
        <v>86</v>
      </c>
      <c r="P174" s="17" t="s">
        <v>86</v>
      </c>
      <c r="Q174" s="81" t="s">
        <v>2177</v>
      </c>
      <c r="R174" s="11">
        <v>30.220800000000001</v>
      </c>
      <c r="S174" s="11">
        <v>-85.521292000000003</v>
      </c>
      <c r="T174" s="11" t="s">
        <v>2178</v>
      </c>
      <c r="U174" s="11" t="s">
        <v>2179</v>
      </c>
      <c r="V174" s="17" t="s">
        <v>2180</v>
      </c>
      <c r="W174" s="17" t="s">
        <v>110</v>
      </c>
      <c r="X174" s="70">
        <v>58</v>
      </c>
      <c r="Y174" s="70">
        <v>52</v>
      </c>
      <c r="Z174" s="13">
        <v>19575</v>
      </c>
      <c r="AA174" s="13">
        <v>19572</v>
      </c>
      <c r="AB174" s="13">
        <v>19585</v>
      </c>
      <c r="AC174" s="13">
        <v>19585</v>
      </c>
      <c r="AD174" s="86">
        <v>5010</v>
      </c>
      <c r="AE174" s="86">
        <v>5010</v>
      </c>
      <c r="AF174" s="70" t="s">
        <v>2181</v>
      </c>
      <c r="AG174" s="17" t="s">
        <v>2182</v>
      </c>
      <c r="AH174" s="17" t="s">
        <v>94</v>
      </c>
      <c r="AI174" s="70" t="s">
        <v>94</v>
      </c>
      <c r="AJ174" s="17" t="s">
        <v>94</v>
      </c>
      <c r="AK174" s="17" t="s">
        <v>95</v>
      </c>
      <c r="AL174" s="17" t="s">
        <v>2183</v>
      </c>
      <c r="AM174" s="17" t="s">
        <v>94</v>
      </c>
      <c r="AN174" s="17" t="s">
        <v>94</v>
      </c>
      <c r="AO174" s="17" t="s">
        <v>98</v>
      </c>
      <c r="AP174" s="17" t="s">
        <v>98</v>
      </c>
      <c r="AQ174" s="17" t="s">
        <v>98</v>
      </c>
      <c r="AR174" s="17" t="s">
        <v>94</v>
      </c>
      <c r="AS174" s="17" t="s">
        <v>2184</v>
      </c>
      <c r="AT174" s="17">
        <v>130</v>
      </c>
      <c r="AU174" s="30" t="s">
        <v>2185</v>
      </c>
      <c r="AV174" s="14">
        <v>3000</v>
      </c>
      <c r="AW174" s="74"/>
      <c r="AX174" s="1"/>
      <c r="AY174" s="17" t="s">
        <v>101</v>
      </c>
    </row>
    <row r="175" spans="1:51" ht="12.75" customHeight="1" x14ac:dyDescent="0.25">
      <c r="A175" s="5">
        <v>174</v>
      </c>
      <c r="B175" s="9">
        <v>174</v>
      </c>
      <c r="C175" s="9" t="s">
        <v>2186</v>
      </c>
      <c r="D175" s="57" t="str">
        <f>HYPERLINK("http://prodenv.dep.state.fl.us/DepNexus/public/electronic-documents/OG_174/facility!search","OG_174_Docs")</f>
        <v>OG_174_Docs</v>
      </c>
      <c r="E175" s="57" t="str">
        <f>HYPERLINK("https://ca.dep.state.fl.us/mapdirect/?focus=oilandgas&amp;zoom=query&amp;querytype=oilandgas&amp;queryvalues=OG_174","OG_174_Map")</f>
        <v>OG_174_Map</v>
      </c>
      <c r="F175" s="1" t="s">
        <v>103</v>
      </c>
      <c r="G175" s="1" t="s">
        <v>79</v>
      </c>
      <c r="H175" s="1" t="s">
        <v>1970</v>
      </c>
      <c r="I175" s="1" t="s">
        <v>2187</v>
      </c>
      <c r="J175" s="17" t="s">
        <v>82</v>
      </c>
      <c r="K175" s="17" t="s">
        <v>83</v>
      </c>
      <c r="L175" s="17"/>
      <c r="M175" s="17"/>
      <c r="N175" s="52" t="s">
        <v>130</v>
      </c>
      <c r="O175" s="17" t="s">
        <v>86</v>
      </c>
      <c r="P175" s="17" t="s">
        <v>86</v>
      </c>
      <c r="Q175" s="81" t="s">
        <v>2188</v>
      </c>
      <c r="R175" s="11">
        <v>30.442630999999999</v>
      </c>
      <c r="S175" s="11">
        <v>-85.241490999999996</v>
      </c>
      <c r="T175" s="11" t="s">
        <v>2189</v>
      </c>
      <c r="U175" s="11" t="s">
        <v>2190</v>
      </c>
      <c r="V175" s="17" t="s">
        <v>1899</v>
      </c>
      <c r="W175" s="17" t="s">
        <v>110</v>
      </c>
      <c r="X175" s="70">
        <v>154</v>
      </c>
      <c r="Y175" s="70">
        <v>147.30000000000001</v>
      </c>
      <c r="Z175" s="13">
        <v>19582</v>
      </c>
      <c r="AA175" s="13">
        <v>19588</v>
      </c>
      <c r="AB175" s="13">
        <v>19601</v>
      </c>
      <c r="AC175" s="13">
        <v>19601</v>
      </c>
      <c r="AD175" s="86">
        <v>4600</v>
      </c>
      <c r="AE175" s="86">
        <v>4600</v>
      </c>
      <c r="AF175" s="70" t="s">
        <v>2191</v>
      </c>
      <c r="AG175" s="17" t="s">
        <v>2192</v>
      </c>
      <c r="AH175" s="17" t="s">
        <v>94</v>
      </c>
      <c r="AI175" s="70" t="s">
        <v>94</v>
      </c>
      <c r="AJ175" s="17" t="s">
        <v>94</v>
      </c>
      <c r="AK175" s="17" t="s">
        <v>95</v>
      </c>
      <c r="AL175" s="17" t="s">
        <v>95</v>
      </c>
      <c r="AM175" s="17" t="s">
        <v>94</v>
      </c>
      <c r="AN175" s="17" t="s">
        <v>94</v>
      </c>
      <c r="AO175" s="17" t="s">
        <v>98</v>
      </c>
      <c r="AP175" s="17" t="s">
        <v>98</v>
      </c>
      <c r="AQ175" s="17" t="s">
        <v>98</v>
      </c>
      <c r="AR175" s="17" t="s">
        <v>94</v>
      </c>
      <c r="AS175" s="17" t="s">
        <v>2193</v>
      </c>
      <c r="AT175" s="17"/>
      <c r="AU175" s="30" t="s">
        <v>2194</v>
      </c>
      <c r="AV175" s="14">
        <v>3010</v>
      </c>
      <c r="AW175" s="74"/>
      <c r="AX175" s="1"/>
      <c r="AY175" s="17" t="s">
        <v>101</v>
      </c>
    </row>
    <row r="176" spans="1:51" ht="12.75" customHeight="1" x14ac:dyDescent="0.25">
      <c r="A176" s="5">
        <v>175</v>
      </c>
      <c r="B176" s="9">
        <v>175</v>
      </c>
      <c r="C176" s="9" t="s">
        <v>2195</v>
      </c>
      <c r="D176" s="57" t="str">
        <f>HYPERLINK("http://prodenv.dep.state.fl.us/DepNexus/public/electronic-documents/OG_175/facility!search","OG_175_Docs")</f>
        <v>OG_175_Docs</v>
      </c>
      <c r="E176" s="57" t="str">
        <f>HYPERLINK("https://ca.dep.state.fl.us/mapdirect/?focus=oilandgas&amp;zoom=query&amp;querytype=oilandgas&amp;queryvalues=OG_175","OG_175_Map")</f>
        <v>OG_175_Map</v>
      </c>
      <c r="F176" s="1" t="s">
        <v>1797</v>
      </c>
      <c r="G176" s="1" t="s">
        <v>79</v>
      </c>
      <c r="H176" s="1" t="s">
        <v>2196</v>
      </c>
      <c r="I176" s="1" t="s">
        <v>2197</v>
      </c>
      <c r="J176" s="17" t="s">
        <v>82</v>
      </c>
      <c r="K176" s="17" t="s">
        <v>83</v>
      </c>
      <c r="L176" s="17"/>
      <c r="M176" s="17"/>
      <c r="N176" s="52" t="s">
        <v>130</v>
      </c>
      <c r="O176" s="17" t="s">
        <v>1962</v>
      </c>
      <c r="P176" s="17" t="s">
        <v>86</v>
      </c>
      <c r="Q176" s="81" t="s">
        <v>2198</v>
      </c>
      <c r="R176" s="11">
        <v>30.957815</v>
      </c>
      <c r="S176" s="11">
        <v>-86.858405000000005</v>
      </c>
      <c r="T176" s="11" t="s">
        <v>2199</v>
      </c>
      <c r="U176" s="11" t="s">
        <v>2200</v>
      </c>
      <c r="V176" s="17" t="s">
        <v>2201</v>
      </c>
      <c r="W176" s="17" t="s">
        <v>110</v>
      </c>
      <c r="X176" s="70">
        <v>187.5</v>
      </c>
      <c r="Y176" s="70">
        <v>179.6</v>
      </c>
      <c r="Z176" s="13">
        <v>19589</v>
      </c>
      <c r="AA176" s="13">
        <v>19592</v>
      </c>
      <c r="AB176" s="13">
        <v>19603</v>
      </c>
      <c r="AC176" s="13">
        <v>19603</v>
      </c>
      <c r="AD176" s="86">
        <v>6505</v>
      </c>
      <c r="AE176" s="86">
        <v>6505</v>
      </c>
      <c r="AF176" s="70" t="s">
        <v>94</v>
      </c>
      <c r="AG176" s="17" t="s">
        <v>2099</v>
      </c>
      <c r="AH176" s="17" t="s">
        <v>94</v>
      </c>
      <c r="AI176" s="70" t="s">
        <v>94</v>
      </c>
      <c r="AJ176" s="17" t="s">
        <v>94</v>
      </c>
      <c r="AK176" s="17" t="s">
        <v>95</v>
      </c>
      <c r="AL176" s="17" t="s">
        <v>94</v>
      </c>
      <c r="AM176" s="17" t="s">
        <v>94</v>
      </c>
      <c r="AN176" s="17" t="s">
        <v>94</v>
      </c>
      <c r="AO176" s="17" t="s">
        <v>98</v>
      </c>
      <c r="AP176" s="17" t="s">
        <v>98</v>
      </c>
      <c r="AQ176" s="17" t="s">
        <v>98</v>
      </c>
      <c r="AR176" s="17" t="s">
        <v>94</v>
      </c>
      <c r="AS176" s="17" t="s">
        <v>2202</v>
      </c>
      <c r="AT176" s="17"/>
      <c r="AU176" s="30" t="s">
        <v>2203</v>
      </c>
      <c r="AV176" s="14">
        <v>3048</v>
      </c>
      <c r="AW176" s="74"/>
      <c r="AX176" s="1"/>
      <c r="AY176" s="17" t="s">
        <v>101</v>
      </c>
    </row>
    <row r="177" spans="1:51" ht="12.75" customHeight="1" x14ac:dyDescent="0.25">
      <c r="A177" s="5">
        <v>176</v>
      </c>
      <c r="B177" s="9">
        <v>176</v>
      </c>
      <c r="C177" s="9" t="s">
        <v>2204</v>
      </c>
      <c r="D177" s="57" t="str">
        <f>HYPERLINK("http://prodenv.dep.state.fl.us/DepNexus/public/electronic-documents/OG_176/facility!search","OG_176_Docs")</f>
        <v>OG_176_Docs</v>
      </c>
      <c r="E177" s="57" t="str">
        <f>HYPERLINK("https://ca.dep.state.fl.us/mapdirect/?focus=oilandgas&amp;zoom=query&amp;querytype=oilandgas&amp;queryvalues=OG_176","OG_176_Map")</f>
        <v>OG_176_Map</v>
      </c>
      <c r="F177" s="1" t="s">
        <v>1797</v>
      </c>
      <c r="G177" s="1" t="s">
        <v>79</v>
      </c>
      <c r="H177" s="1" t="s">
        <v>1778</v>
      </c>
      <c r="I177" s="1" t="s">
        <v>2205</v>
      </c>
      <c r="J177" s="17" t="s">
        <v>82</v>
      </c>
      <c r="K177" s="17" t="s">
        <v>83</v>
      </c>
      <c r="L177" s="17"/>
      <c r="M177" s="17"/>
      <c r="N177" s="52" t="s">
        <v>130</v>
      </c>
      <c r="O177" s="17" t="s">
        <v>86</v>
      </c>
      <c r="P177" s="17" t="s">
        <v>86</v>
      </c>
      <c r="Q177" s="81" t="s">
        <v>2206</v>
      </c>
      <c r="R177" s="11">
        <v>30.893872999999999</v>
      </c>
      <c r="S177" s="11">
        <v>-87.055051000000006</v>
      </c>
      <c r="T177" s="11" t="s">
        <v>2207</v>
      </c>
      <c r="U177" s="11" t="s">
        <v>2208</v>
      </c>
      <c r="V177" s="17" t="s">
        <v>2209</v>
      </c>
      <c r="W177" s="17" t="s">
        <v>110</v>
      </c>
      <c r="X177" s="70">
        <v>242</v>
      </c>
      <c r="Y177" s="70">
        <v>232</v>
      </c>
      <c r="Z177" s="13">
        <v>19589</v>
      </c>
      <c r="AA177" s="13">
        <v>19601</v>
      </c>
      <c r="AB177" s="13">
        <v>19614</v>
      </c>
      <c r="AC177" s="13">
        <v>19614</v>
      </c>
      <c r="AD177" s="86">
        <v>6588</v>
      </c>
      <c r="AE177" s="86">
        <v>6588</v>
      </c>
      <c r="AF177" s="70" t="s">
        <v>94</v>
      </c>
      <c r="AG177" s="17" t="s">
        <v>2210</v>
      </c>
      <c r="AH177" s="17" t="s">
        <v>94</v>
      </c>
      <c r="AI177" s="70" t="s">
        <v>94</v>
      </c>
      <c r="AJ177" s="17" t="s">
        <v>94</v>
      </c>
      <c r="AK177" s="17" t="s">
        <v>95</v>
      </c>
      <c r="AL177" s="17" t="s">
        <v>94</v>
      </c>
      <c r="AM177" s="17" t="s">
        <v>94</v>
      </c>
      <c r="AN177" s="17" t="s">
        <v>94</v>
      </c>
      <c r="AO177" s="17" t="s">
        <v>98</v>
      </c>
      <c r="AP177" s="17" t="s">
        <v>98</v>
      </c>
      <c r="AQ177" s="17" t="s">
        <v>98</v>
      </c>
      <c r="AR177" s="17" t="s">
        <v>94</v>
      </c>
      <c r="AS177" s="17" t="s">
        <v>2211</v>
      </c>
      <c r="AT177" s="17"/>
      <c r="AU177" s="30" t="s">
        <v>2212</v>
      </c>
      <c r="AV177" s="14">
        <v>3075</v>
      </c>
      <c r="AW177" s="74"/>
      <c r="AX177" s="1"/>
      <c r="AY177" s="17" t="s">
        <v>101</v>
      </c>
    </row>
    <row r="178" spans="1:51" ht="12.75" customHeight="1" x14ac:dyDescent="0.25">
      <c r="A178" s="5">
        <v>177</v>
      </c>
      <c r="B178" s="9">
        <v>177</v>
      </c>
      <c r="C178" s="9" t="s">
        <v>2213</v>
      </c>
      <c r="D178" s="57" t="str">
        <f>HYPERLINK("http://prodenv.dep.state.fl.us/DepNexus/public/electronic-documents/OG_177/facility!search","OG_177_Docs")</f>
        <v>OG_177_Docs</v>
      </c>
      <c r="E178" s="57" t="str">
        <f>HYPERLINK("https://ca.dep.state.fl.us/mapdirect/?focus=oilandgas&amp;zoom=query&amp;querytype=oilandgas&amp;queryvalues=OG_177","OG_177_Map")</f>
        <v>OG_177_Map</v>
      </c>
      <c r="F178" s="1" t="s">
        <v>829</v>
      </c>
      <c r="G178" s="1" t="s">
        <v>79</v>
      </c>
      <c r="H178" s="1" t="s">
        <v>2196</v>
      </c>
      <c r="I178" s="1" t="s">
        <v>2095</v>
      </c>
      <c r="J178" s="17" t="s">
        <v>82</v>
      </c>
      <c r="K178" s="17" t="s">
        <v>83</v>
      </c>
      <c r="L178" s="17"/>
      <c r="M178" s="17" t="s">
        <v>101</v>
      </c>
      <c r="N178" s="52" t="s">
        <v>130</v>
      </c>
      <c r="O178" s="17" t="s">
        <v>1962</v>
      </c>
      <c r="P178" s="17" t="s">
        <v>86</v>
      </c>
      <c r="Q178" s="81" t="s">
        <v>2214</v>
      </c>
      <c r="R178" s="11">
        <v>30.966853</v>
      </c>
      <c r="S178" s="11">
        <v>-86.762485999999996</v>
      </c>
      <c r="T178" s="11" t="s">
        <v>2215</v>
      </c>
      <c r="U178" s="11" t="s">
        <v>2216</v>
      </c>
      <c r="V178" s="17" t="s">
        <v>2217</v>
      </c>
      <c r="W178" s="17" t="s">
        <v>110</v>
      </c>
      <c r="X178" s="70">
        <v>207</v>
      </c>
      <c r="Y178" s="70">
        <v>200</v>
      </c>
      <c r="Z178" s="13">
        <v>19610</v>
      </c>
      <c r="AA178" s="13">
        <v>19630</v>
      </c>
      <c r="AB178" s="13">
        <v>19641</v>
      </c>
      <c r="AC178" s="13">
        <v>19641</v>
      </c>
      <c r="AD178" s="86">
        <v>5978</v>
      </c>
      <c r="AE178" s="86">
        <v>5978</v>
      </c>
      <c r="AF178" s="70" t="s">
        <v>94</v>
      </c>
      <c r="AG178" s="17" t="s">
        <v>2218</v>
      </c>
      <c r="AH178" s="17" t="s">
        <v>94</v>
      </c>
      <c r="AI178" s="70" t="s">
        <v>94</v>
      </c>
      <c r="AJ178" s="17" t="s">
        <v>94</v>
      </c>
      <c r="AK178" s="17" t="s">
        <v>95</v>
      </c>
      <c r="AL178" s="17" t="s">
        <v>94</v>
      </c>
      <c r="AM178" s="17" t="s">
        <v>94</v>
      </c>
      <c r="AN178" s="17" t="s">
        <v>94</v>
      </c>
      <c r="AO178" s="17" t="s">
        <v>98</v>
      </c>
      <c r="AP178" s="17" t="s">
        <v>98</v>
      </c>
      <c r="AQ178" s="17" t="s">
        <v>98</v>
      </c>
      <c r="AR178" s="17" t="s">
        <v>94</v>
      </c>
      <c r="AS178" s="17" t="s">
        <v>2219</v>
      </c>
      <c r="AT178" s="17">
        <v>139</v>
      </c>
      <c r="AU178" s="30" t="s">
        <v>2220</v>
      </c>
      <c r="AV178" s="14">
        <v>3100</v>
      </c>
      <c r="AW178" s="74"/>
      <c r="AX178" s="1"/>
      <c r="AY178" s="17" t="s">
        <v>101</v>
      </c>
    </row>
    <row r="179" spans="1:51" ht="12.75" customHeight="1" x14ac:dyDescent="0.25">
      <c r="A179" s="5">
        <v>178</v>
      </c>
      <c r="B179" s="9">
        <v>178</v>
      </c>
      <c r="C179" s="9" t="s">
        <v>2221</v>
      </c>
      <c r="D179" s="57" t="str">
        <f>HYPERLINK("http://prodenv.dep.state.fl.us/DepNexus/public/electronic-documents/OG_178/facility!search","OG_178_Docs")</f>
        <v>OG_178_Docs</v>
      </c>
      <c r="E179" s="57" t="str">
        <f>HYPERLINK("https://ca.dep.state.fl.us/mapdirect/?focus=oilandgas&amp;zoom=query&amp;querytype=oilandgas&amp;queryvalues=OG_178","OG_178_Map")</f>
        <v>OG_178_Map</v>
      </c>
      <c r="F179" s="1" t="s">
        <v>2222</v>
      </c>
      <c r="G179" s="1" t="s">
        <v>79</v>
      </c>
      <c r="H179" s="1" t="s">
        <v>229</v>
      </c>
      <c r="I179" s="1" t="s">
        <v>2223</v>
      </c>
      <c r="J179" s="17" t="s">
        <v>82</v>
      </c>
      <c r="K179" s="17" t="s">
        <v>83</v>
      </c>
      <c r="L179" s="17"/>
      <c r="M179" s="17" t="s">
        <v>84</v>
      </c>
      <c r="N179" s="52" t="s">
        <v>2224</v>
      </c>
      <c r="O179" s="17" t="s">
        <v>86</v>
      </c>
      <c r="P179" s="17" t="s">
        <v>86</v>
      </c>
      <c r="Q179" s="81" t="s">
        <v>2225</v>
      </c>
      <c r="R179" s="11">
        <v>26.870593</v>
      </c>
      <c r="S179" s="11">
        <v>-82.180818000000002</v>
      </c>
      <c r="T179" s="11" t="s">
        <v>2226</v>
      </c>
      <c r="U179" s="11" t="s">
        <v>2227</v>
      </c>
      <c r="V179" s="17" t="s">
        <v>2228</v>
      </c>
      <c r="W179" s="17" t="s">
        <v>110</v>
      </c>
      <c r="X179" s="70">
        <v>21.5</v>
      </c>
      <c r="Y179" s="70">
        <v>5.8</v>
      </c>
      <c r="Z179" s="13">
        <v>19624</v>
      </c>
      <c r="AA179" s="13">
        <v>19690</v>
      </c>
      <c r="AB179" s="13">
        <v>19792</v>
      </c>
      <c r="AC179" s="13">
        <v>19797</v>
      </c>
      <c r="AD179" s="86">
        <v>12722</v>
      </c>
      <c r="AE179" s="86">
        <v>12722</v>
      </c>
      <c r="AF179" s="70" t="s">
        <v>2229</v>
      </c>
      <c r="AG179" s="17" t="s">
        <v>2230</v>
      </c>
      <c r="AH179" s="17" t="s">
        <v>2231</v>
      </c>
      <c r="AI179" s="70" t="s">
        <v>94</v>
      </c>
      <c r="AJ179" s="17" t="s">
        <v>94</v>
      </c>
      <c r="AK179" s="17" t="s">
        <v>95</v>
      </c>
      <c r="AL179" s="17" t="s">
        <v>2232</v>
      </c>
      <c r="AM179" s="17" t="s">
        <v>94</v>
      </c>
      <c r="AN179" s="17" t="s">
        <v>86</v>
      </c>
      <c r="AO179" s="17" t="s">
        <v>98</v>
      </c>
      <c r="AP179" s="17" t="s">
        <v>98</v>
      </c>
      <c r="AQ179" s="17" t="s">
        <v>98</v>
      </c>
      <c r="AR179" s="17" t="s">
        <v>94</v>
      </c>
      <c r="AS179" s="17" t="s">
        <v>2233</v>
      </c>
      <c r="AT179" s="17">
        <v>262</v>
      </c>
      <c r="AU179" s="30" t="s">
        <v>2234</v>
      </c>
      <c r="AV179" s="14">
        <v>3214</v>
      </c>
      <c r="AW179" s="74"/>
      <c r="AX179" s="1"/>
      <c r="AY179" s="17" t="s">
        <v>101</v>
      </c>
    </row>
    <row r="180" spans="1:51" ht="12.75" customHeight="1" x14ac:dyDescent="0.25">
      <c r="A180" s="5">
        <v>179</v>
      </c>
      <c r="B180" s="9">
        <v>179</v>
      </c>
      <c r="C180" s="9" t="s">
        <v>2235</v>
      </c>
      <c r="D180" s="57" t="str">
        <f>HYPERLINK("http://prodenv.dep.state.fl.us/DepNexus/public/electronic-documents/OG_179/facility!search","OG_179_Docs")</f>
        <v>OG_179_Docs</v>
      </c>
      <c r="E180" s="57" t="str">
        <f>HYPERLINK("https://ca.dep.state.fl.us/mapdirect/?focus=oilandgas&amp;zoom=query&amp;querytype=oilandgas&amp;queryvalues=OG_179","OG_179_Map")</f>
        <v>OG_179_Map</v>
      </c>
      <c r="F180" s="1" t="s">
        <v>1797</v>
      </c>
      <c r="G180" s="1" t="s">
        <v>79</v>
      </c>
      <c r="H180" s="1" t="s">
        <v>2196</v>
      </c>
      <c r="I180" s="1" t="s">
        <v>2236</v>
      </c>
      <c r="J180" s="17" t="s">
        <v>82</v>
      </c>
      <c r="K180" s="17" t="s">
        <v>83</v>
      </c>
      <c r="L180" s="17"/>
      <c r="M180" s="17"/>
      <c r="N180" s="52" t="s">
        <v>130</v>
      </c>
      <c r="O180" s="17" t="s">
        <v>86</v>
      </c>
      <c r="P180" s="17" t="s">
        <v>86</v>
      </c>
      <c r="Q180" s="81" t="s">
        <v>2237</v>
      </c>
      <c r="R180" s="11">
        <v>30.835802999999999</v>
      </c>
      <c r="S180" s="11">
        <v>-86.802644000000001</v>
      </c>
      <c r="T180" s="11" t="s">
        <v>2238</v>
      </c>
      <c r="U180" s="11" t="s">
        <v>2239</v>
      </c>
      <c r="V180" s="17" t="s">
        <v>2240</v>
      </c>
      <c r="W180" s="17" t="s">
        <v>110</v>
      </c>
      <c r="X180" s="70">
        <v>213</v>
      </c>
      <c r="Y180" s="70">
        <v>206</v>
      </c>
      <c r="Z180" s="13">
        <v>19645</v>
      </c>
      <c r="AA180" s="13">
        <v>19649</v>
      </c>
      <c r="AB180" s="13">
        <v>19675</v>
      </c>
      <c r="AC180" s="13">
        <v>19675</v>
      </c>
      <c r="AD180" s="86">
        <v>6457</v>
      </c>
      <c r="AE180" s="86">
        <v>6457</v>
      </c>
      <c r="AF180" s="70" t="s">
        <v>94</v>
      </c>
      <c r="AG180" s="17" t="s">
        <v>2241</v>
      </c>
      <c r="AH180" s="17" t="s">
        <v>94</v>
      </c>
      <c r="AI180" s="70" t="s">
        <v>94</v>
      </c>
      <c r="AJ180" s="17" t="s">
        <v>94</v>
      </c>
      <c r="AK180" s="17" t="s">
        <v>95</v>
      </c>
      <c r="AL180" s="17" t="s">
        <v>94</v>
      </c>
      <c r="AM180" s="17" t="s">
        <v>94</v>
      </c>
      <c r="AN180" s="17" t="s">
        <v>94</v>
      </c>
      <c r="AO180" s="17" t="s">
        <v>98</v>
      </c>
      <c r="AP180" s="17" t="s">
        <v>98</v>
      </c>
      <c r="AQ180" s="17" t="s">
        <v>98</v>
      </c>
      <c r="AR180" s="17" t="s">
        <v>94</v>
      </c>
      <c r="AS180" s="17" t="s">
        <v>2242</v>
      </c>
      <c r="AT180" s="17"/>
      <c r="AU180" s="30" t="s">
        <v>2243</v>
      </c>
      <c r="AV180" s="14">
        <v>3103</v>
      </c>
      <c r="AW180" s="74"/>
      <c r="AX180" s="1"/>
      <c r="AY180" s="17" t="s">
        <v>101</v>
      </c>
    </row>
    <row r="181" spans="1:51" ht="12.75" customHeight="1" x14ac:dyDescent="0.25">
      <c r="A181" s="5">
        <v>180</v>
      </c>
      <c r="B181" s="9">
        <v>180</v>
      </c>
      <c r="C181" s="9" t="s">
        <v>2244</v>
      </c>
      <c r="D181" s="57" t="str">
        <f>HYPERLINK("http://prodenv.dep.state.fl.us/DepNexus/public/electronic-documents/OG_180/facility!search","OG_180_Docs")</f>
        <v>OG_180_Docs</v>
      </c>
      <c r="E181" s="57" t="str">
        <f>HYPERLINK("https://ca.dep.state.fl.us/mapdirect/?focus=oilandgas&amp;zoom=query&amp;querytype=oilandgas&amp;queryvalues=OG_180","OG_180_Map")</f>
        <v>OG_180_Map</v>
      </c>
      <c r="F181" s="1" t="s">
        <v>191</v>
      </c>
      <c r="G181" s="1" t="s">
        <v>79</v>
      </c>
      <c r="H181" s="1" t="s">
        <v>2245</v>
      </c>
      <c r="I181" s="1" t="s">
        <v>1807</v>
      </c>
      <c r="J181" s="17" t="s">
        <v>82</v>
      </c>
      <c r="K181" s="17" t="s">
        <v>83</v>
      </c>
      <c r="L181" s="17"/>
      <c r="M181" s="17"/>
      <c r="N181" s="52" t="s">
        <v>130</v>
      </c>
      <c r="O181" s="17" t="s">
        <v>86</v>
      </c>
      <c r="P181" s="17" t="s">
        <v>86</v>
      </c>
      <c r="Q181" s="81" t="s">
        <v>2246</v>
      </c>
      <c r="R181" s="11">
        <v>29.863669999999999</v>
      </c>
      <c r="S181" s="11">
        <v>-84.705194000000006</v>
      </c>
      <c r="T181" s="11" t="s">
        <v>2247</v>
      </c>
      <c r="U181" s="11" t="s">
        <v>2248</v>
      </c>
      <c r="V181" s="17" t="s">
        <v>352</v>
      </c>
      <c r="W181" s="17" t="s">
        <v>110</v>
      </c>
      <c r="X181" s="70"/>
      <c r="Y181" s="70">
        <v>10.8</v>
      </c>
      <c r="Z181" s="13">
        <v>19666</v>
      </c>
      <c r="AA181" s="13">
        <v>19668</v>
      </c>
      <c r="AB181" s="13">
        <v>19716</v>
      </c>
      <c r="AC181" s="13">
        <v>19716</v>
      </c>
      <c r="AD181" s="86">
        <v>4819</v>
      </c>
      <c r="AE181" s="86">
        <v>4819</v>
      </c>
      <c r="AF181" s="70" t="s">
        <v>2249</v>
      </c>
      <c r="AG181" s="17" t="s">
        <v>2250</v>
      </c>
      <c r="AH181" s="17" t="s">
        <v>94</v>
      </c>
      <c r="AI181" s="70" t="s">
        <v>94</v>
      </c>
      <c r="AJ181" s="17" t="s">
        <v>94</v>
      </c>
      <c r="AK181" s="17" t="s">
        <v>95</v>
      </c>
      <c r="AL181" s="17" t="s">
        <v>94</v>
      </c>
      <c r="AM181" s="17" t="s">
        <v>94</v>
      </c>
      <c r="AN181" s="17" t="s">
        <v>86</v>
      </c>
      <c r="AO181" s="17" t="s">
        <v>98</v>
      </c>
      <c r="AP181" s="17" t="s">
        <v>98</v>
      </c>
      <c r="AQ181" s="17" t="s">
        <v>98</v>
      </c>
      <c r="AR181" s="17" t="s">
        <v>94</v>
      </c>
      <c r="AS181" s="17" t="s">
        <v>2251</v>
      </c>
      <c r="AT181" s="17">
        <v>120</v>
      </c>
      <c r="AU181" s="30" t="s">
        <v>2252</v>
      </c>
      <c r="AV181" s="14">
        <v>3119</v>
      </c>
      <c r="AW181" s="74"/>
      <c r="AX181" s="1"/>
      <c r="AY181" s="17" t="s">
        <v>101</v>
      </c>
    </row>
    <row r="182" spans="1:51" ht="12.75" customHeight="1" x14ac:dyDescent="0.25">
      <c r="A182" s="5">
        <v>181</v>
      </c>
      <c r="B182" s="9">
        <v>181</v>
      </c>
      <c r="C182" s="9" t="s">
        <v>2253</v>
      </c>
      <c r="D182" s="57" t="str">
        <f>HYPERLINK("http://prodenv.dep.state.fl.us/DepNexus/public/electronic-documents/OG_181/facility!search","OG_181_Docs")</f>
        <v>OG_181_Docs</v>
      </c>
      <c r="E182" s="57" t="str">
        <f>HYPERLINK("https://ca.dep.state.fl.us/mapdirect/?focus=oilandgas&amp;zoom=query&amp;querytype=oilandgas&amp;queryvalues=OG_181","OG_181_Map")</f>
        <v>OG_181_Map</v>
      </c>
      <c r="F182" s="1" t="s">
        <v>1797</v>
      </c>
      <c r="G182" s="1" t="s">
        <v>79</v>
      </c>
      <c r="H182" s="1" t="s">
        <v>229</v>
      </c>
      <c r="I182" s="1" t="s">
        <v>2254</v>
      </c>
      <c r="J182" s="17" t="s">
        <v>82</v>
      </c>
      <c r="K182" s="17" t="s">
        <v>83</v>
      </c>
      <c r="L182" s="17"/>
      <c r="M182" s="17" t="s">
        <v>101</v>
      </c>
      <c r="N182" s="52" t="s">
        <v>130</v>
      </c>
      <c r="O182" s="17" t="s">
        <v>86</v>
      </c>
      <c r="P182" s="17" t="s">
        <v>86</v>
      </c>
      <c r="Q182" s="81" t="s">
        <v>2255</v>
      </c>
      <c r="R182" s="11">
        <v>30.474201000000001</v>
      </c>
      <c r="S182" s="11">
        <v>-87.093793000000005</v>
      </c>
      <c r="T182" s="11" t="s">
        <v>2256</v>
      </c>
      <c r="U182" s="11" t="s">
        <v>2257</v>
      </c>
      <c r="V182" s="17" t="s">
        <v>2258</v>
      </c>
      <c r="W182" s="17" t="s">
        <v>2259</v>
      </c>
      <c r="X182" s="70">
        <v>10.1</v>
      </c>
      <c r="Y182" s="70"/>
      <c r="Z182" s="13">
        <v>19686</v>
      </c>
      <c r="AA182" s="13">
        <v>19694</v>
      </c>
      <c r="AB182" s="13">
        <v>19734</v>
      </c>
      <c r="AC182" s="13">
        <v>19734</v>
      </c>
      <c r="AD182" s="86">
        <v>6186</v>
      </c>
      <c r="AE182" s="70">
        <v>6235</v>
      </c>
      <c r="AF182" s="70" t="s">
        <v>2260</v>
      </c>
      <c r="AG182" s="17" t="s">
        <v>2261</v>
      </c>
      <c r="AH182" s="17" t="s">
        <v>94</v>
      </c>
      <c r="AI182" s="70" t="s">
        <v>94</v>
      </c>
      <c r="AJ182" s="17" t="s">
        <v>94</v>
      </c>
      <c r="AK182" s="17" t="s">
        <v>95</v>
      </c>
      <c r="AL182" s="17" t="s">
        <v>94</v>
      </c>
      <c r="AM182" s="17" t="s">
        <v>94</v>
      </c>
      <c r="AN182" s="17" t="s">
        <v>94</v>
      </c>
      <c r="AO182" s="17" t="s">
        <v>98</v>
      </c>
      <c r="AP182" s="17" t="s">
        <v>98</v>
      </c>
      <c r="AQ182" s="17" t="s">
        <v>98</v>
      </c>
      <c r="AR182" s="17" t="s">
        <v>94</v>
      </c>
      <c r="AS182" s="17" t="s">
        <v>2262</v>
      </c>
      <c r="AT182" s="17">
        <v>142</v>
      </c>
      <c r="AU182" s="30" t="s">
        <v>2263</v>
      </c>
      <c r="AV182" s="14">
        <v>3203</v>
      </c>
      <c r="AW182" s="74"/>
      <c r="AX182" s="1"/>
      <c r="AY182" s="17" t="s">
        <v>101</v>
      </c>
    </row>
    <row r="183" spans="1:51" ht="15" customHeight="1" x14ac:dyDescent="0.25">
      <c r="A183" s="5">
        <v>182</v>
      </c>
      <c r="B183" s="9">
        <v>182</v>
      </c>
      <c r="C183" s="9" t="s">
        <v>2264</v>
      </c>
      <c r="D183" s="57" t="str">
        <f>HYPERLINK("http://prodenv.dep.state.fl.us/DepNexus/public/electronic-documents/OG_182/facility!search","OG_182_Docs")</f>
        <v>OG_182_Docs</v>
      </c>
      <c r="E183" s="57" t="str">
        <f>HYPERLINK("https://ca.dep.state.fl.us/mapdirect/?focus=oilandgas&amp;zoom=query&amp;querytype=oilandgas&amp;queryvalues=OG_182","OG_182_Map")</f>
        <v>OG_182_Map</v>
      </c>
      <c r="F183" s="1" t="s">
        <v>204</v>
      </c>
      <c r="G183" s="1" t="s">
        <v>2103</v>
      </c>
      <c r="H183" s="1" t="s">
        <v>229</v>
      </c>
      <c r="I183" s="1" t="s">
        <v>2265</v>
      </c>
      <c r="J183" s="17" t="s">
        <v>268</v>
      </c>
      <c r="K183" s="17" t="s">
        <v>2105</v>
      </c>
      <c r="L183" s="17"/>
      <c r="M183" s="17" t="s">
        <v>84</v>
      </c>
      <c r="N183" s="52" t="s">
        <v>2266</v>
      </c>
      <c r="O183" s="17" t="s">
        <v>2267</v>
      </c>
      <c r="P183" s="17" t="s">
        <v>86</v>
      </c>
      <c r="Q183" s="81" t="s">
        <v>2268</v>
      </c>
      <c r="R183" s="11">
        <v>25.764341000000002</v>
      </c>
      <c r="S183" s="11">
        <v>-80.871228000000002</v>
      </c>
      <c r="T183" s="11" t="s">
        <v>2269</v>
      </c>
      <c r="U183" s="11" t="s">
        <v>2270</v>
      </c>
      <c r="V183" s="17" t="s">
        <v>2271</v>
      </c>
      <c r="W183" s="17" t="s">
        <v>110</v>
      </c>
      <c r="X183" s="70">
        <v>18</v>
      </c>
      <c r="Y183" s="70">
        <v>7.3</v>
      </c>
      <c r="Z183" s="13">
        <v>19701</v>
      </c>
      <c r="AA183" s="13">
        <v>19706</v>
      </c>
      <c r="AB183" s="13">
        <v>19819</v>
      </c>
      <c r="AC183" s="13">
        <v>20528</v>
      </c>
      <c r="AD183" s="86">
        <v>11352</v>
      </c>
      <c r="AE183" s="86">
        <v>11352</v>
      </c>
      <c r="AF183" s="70" t="s">
        <v>2272</v>
      </c>
      <c r="AG183" s="17" t="s">
        <v>2273</v>
      </c>
      <c r="AH183" s="17" t="s">
        <v>2274</v>
      </c>
      <c r="AI183" s="70" t="s">
        <v>2275</v>
      </c>
      <c r="AJ183" s="17" t="s">
        <v>2276</v>
      </c>
      <c r="AK183" s="17" t="s">
        <v>95</v>
      </c>
      <c r="AL183" s="17" t="s">
        <v>2277</v>
      </c>
      <c r="AM183" s="17" t="s">
        <v>825</v>
      </c>
      <c r="AN183" s="17" t="s">
        <v>2278</v>
      </c>
      <c r="AO183" s="17" t="s">
        <v>2279</v>
      </c>
      <c r="AP183" s="17" t="s">
        <v>2280</v>
      </c>
      <c r="AQ183" s="17" t="s">
        <v>2281</v>
      </c>
      <c r="AR183" s="17" t="s">
        <v>2282</v>
      </c>
      <c r="AS183" s="17" t="s">
        <v>2283</v>
      </c>
      <c r="AT183" s="17">
        <v>236</v>
      </c>
      <c r="AU183" s="30" t="s">
        <v>2284</v>
      </c>
      <c r="AV183" s="14">
        <v>3174</v>
      </c>
      <c r="AW183" s="74"/>
      <c r="AX183" s="1"/>
      <c r="AY183" s="17" t="s">
        <v>101</v>
      </c>
    </row>
    <row r="184" spans="1:51" ht="12.75" customHeight="1" x14ac:dyDescent="0.25">
      <c r="A184" s="5">
        <v>183</v>
      </c>
      <c r="B184" s="9">
        <v>183</v>
      </c>
      <c r="C184" s="9" t="s">
        <v>2285</v>
      </c>
      <c r="D184" s="57" t="str">
        <f>HYPERLINK("http://prodenv.dep.state.fl.us/DepNexus/public/electronic-documents/OG_183/facility!search","OG_183_Docs")</f>
        <v>OG_183_Docs</v>
      </c>
      <c r="E184" s="57" t="str">
        <f>HYPERLINK("https://ca.dep.state.fl.us/mapdirect/?focus=oilandgas&amp;zoom=query&amp;querytype=oilandgas&amp;queryvalues=OG_183","OG_183_Map")</f>
        <v>OG_183_Map</v>
      </c>
      <c r="F184" s="1" t="s">
        <v>1797</v>
      </c>
      <c r="G184" s="1" t="s">
        <v>79</v>
      </c>
      <c r="H184" s="1" t="s">
        <v>2286</v>
      </c>
      <c r="I184" s="1" t="s">
        <v>2287</v>
      </c>
      <c r="J184" s="17" t="s">
        <v>82</v>
      </c>
      <c r="K184" s="17" t="s">
        <v>83</v>
      </c>
      <c r="L184" s="17"/>
      <c r="M184" s="17"/>
      <c r="N184" s="52" t="s">
        <v>130</v>
      </c>
      <c r="O184" s="17" t="s">
        <v>86</v>
      </c>
      <c r="P184" s="17" t="s">
        <v>86</v>
      </c>
      <c r="Q184" s="81" t="s">
        <v>2288</v>
      </c>
      <c r="R184" s="11">
        <v>30.840247999999999</v>
      </c>
      <c r="S184" s="11">
        <v>-86.994870000000006</v>
      </c>
      <c r="T184" s="11" t="s">
        <v>2289</v>
      </c>
      <c r="U184" s="11" t="s">
        <v>2290</v>
      </c>
      <c r="V184" s="17" t="s">
        <v>2291</v>
      </c>
      <c r="W184" s="17" t="s">
        <v>110</v>
      </c>
      <c r="X184" s="70">
        <v>80.39</v>
      </c>
      <c r="Y184" s="70">
        <v>72.209999999999994</v>
      </c>
      <c r="Z184" s="13">
        <v>19701</v>
      </c>
      <c r="AA184" s="13">
        <v>19716</v>
      </c>
      <c r="AB184" s="13">
        <v>19739</v>
      </c>
      <c r="AC184" s="13">
        <v>19739</v>
      </c>
      <c r="AD184" s="86">
        <v>6810</v>
      </c>
      <c r="AE184" s="86">
        <v>6810</v>
      </c>
      <c r="AF184" s="70" t="s">
        <v>94</v>
      </c>
      <c r="AG184" s="17" t="s">
        <v>2292</v>
      </c>
      <c r="AH184" s="17" t="s">
        <v>94</v>
      </c>
      <c r="AI184" s="70" t="s">
        <v>94</v>
      </c>
      <c r="AJ184" s="17" t="s">
        <v>94</v>
      </c>
      <c r="AK184" s="17" t="s">
        <v>95</v>
      </c>
      <c r="AL184" s="17" t="s">
        <v>94</v>
      </c>
      <c r="AM184" s="17" t="s">
        <v>94</v>
      </c>
      <c r="AN184" s="17" t="s">
        <v>94</v>
      </c>
      <c r="AO184" s="17" t="s">
        <v>98</v>
      </c>
      <c r="AP184" s="17" t="s">
        <v>98</v>
      </c>
      <c r="AQ184" s="17" t="s">
        <v>98</v>
      </c>
      <c r="AR184" s="17" t="s">
        <v>94</v>
      </c>
      <c r="AS184" s="17" t="s">
        <v>2293</v>
      </c>
      <c r="AT184" s="17"/>
      <c r="AU184" s="30" t="s">
        <v>2294</v>
      </c>
      <c r="AV184" s="14">
        <v>3179</v>
      </c>
      <c r="AW184" s="74"/>
      <c r="AX184" s="1"/>
      <c r="AY184" s="17" t="s">
        <v>101</v>
      </c>
    </row>
    <row r="185" spans="1:51" ht="12.75" customHeight="1" x14ac:dyDescent="0.25">
      <c r="A185" s="5">
        <v>184</v>
      </c>
      <c r="B185" s="9">
        <v>184</v>
      </c>
      <c r="C185" s="9" t="s">
        <v>2295</v>
      </c>
      <c r="D185" s="57" t="str">
        <f>HYPERLINK("http://prodenv.dep.state.fl.us/DepNexus/public/electronic-documents/OG_184/facility!search","OG_184_Docs")</f>
        <v>OG_184_Docs</v>
      </c>
      <c r="E185" s="57" t="str">
        <f>HYPERLINK("https://ca.dep.state.fl.us/mapdirect/?focus=oilandgas&amp;zoom=query&amp;querytype=oilandgas&amp;queryvalues=OG_184","OG_184_Map")</f>
        <v>OG_184_Map</v>
      </c>
      <c r="F185" s="1" t="s">
        <v>103</v>
      </c>
      <c r="G185" s="1" t="s">
        <v>79</v>
      </c>
      <c r="H185" s="1" t="s">
        <v>128</v>
      </c>
      <c r="I185" s="1" t="s">
        <v>2296</v>
      </c>
      <c r="J185" s="17" t="s">
        <v>82</v>
      </c>
      <c r="K185" s="17" t="s">
        <v>83</v>
      </c>
      <c r="L185" s="17"/>
      <c r="M185" s="17"/>
      <c r="N185" s="52" t="s">
        <v>130</v>
      </c>
      <c r="O185" s="17" t="s">
        <v>86</v>
      </c>
      <c r="P185" s="17" t="s">
        <v>86</v>
      </c>
      <c r="Q185" s="81" t="s">
        <v>2297</v>
      </c>
      <c r="R185" s="11">
        <v>30.437228000000001</v>
      </c>
      <c r="S185" s="11">
        <v>-85.360242</v>
      </c>
      <c r="T185" s="11" t="s">
        <v>2298</v>
      </c>
      <c r="U185" s="11" t="s">
        <v>2299</v>
      </c>
      <c r="V185" s="17" t="s">
        <v>2300</v>
      </c>
      <c r="W185" s="17" t="s">
        <v>110</v>
      </c>
      <c r="X185" s="70">
        <v>159.30000000000001</v>
      </c>
      <c r="Y185" s="70">
        <v>150.5</v>
      </c>
      <c r="Z185" s="13">
        <v>19708</v>
      </c>
      <c r="AA185" s="13">
        <v>19729</v>
      </c>
      <c r="AB185" s="13">
        <v>19743</v>
      </c>
      <c r="AC185" s="13">
        <v>19743</v>
      </c>
      <c r="AD185" s="86">
        <v>4611</v>
      </c>
      <c r="AE185" s="86">
        <v>4611</v>
      </c>
      <c r="AF185" s="70" t="s">
        <v>2301</v>
      </c>
      <c r="AG185" s="17" t="s">
        <v>2302</v>
      </c>
      <c r="AH185" s="17" t="s">
        <v>2303</v>
      </c>
      <c r="AI185" s="70" t="s">
        <v>94</v>
      </c>
      <c r="AJ185" s="17" t="s">
        <v>94</v>
      </c>
      <c r="AK185" s="17" t="s">
        <v>95</v>
      </c>
      <c r="AL185" s="17" t="s">
        <v>94</v>
      </c>
      <c r="AM185" s="17" t="s">
        <v>94</v>
      </c>
      <c r="AN185" s="17" t="s">
        <v>94</v>
      </c>
      <c r="AO185" s="17" t="s">
        <v>98</v>
      </c>
      <c r="AP185" s="17" t="s">
        <v>98</v>
      </c>
      <c r="AQ185" s="17" t="s">
        <v>98</v>
      </c>
      <c r="AR185" s="17" t="s">
        <v>94</v>
      </c>
      <c r="AS185" s="17" t="s">
        <v>2304</v>
      </c>
      <c r="AT185" s="17"/>
      <c r="AU185" s="30" t="s">
        <v>2305</v>
      </c>
      <c r="AV185" s="14">
        <v>3177</v>
      </c>
      <c r="AW185" s="74"/>
      <c r="AX185" s="1"/>
      <c r="AY185" s="17" t="s">
        <v>101</v>
      </c>
    </row>
    <row r="186" spans="1:51" ht="12.75" customHeight="1" x14ac:dyDescent="0.25">
      <c r="A186" s="5">
        <v>185</v>
      </c>
      <c r="B186" s="9">
        <v>185</v>
      </c>
      <c r="C186" s="9" t="s">
        <v>2306</v>
      </c>
      <c r="D186" s="57" t="str">
        <f>HYPERLINK("http://prodenv.dep.state.fl.us/DepNexus/public/electronic-documents/OG_185/facility!search","OG_185_Docs")</f>
        <v>OG_185_Docs</v>
      </c>
      <c r="E186" s="57" t="str">
        <f>HYPERLINK("https://ca.dep.state.fl.us/mapdirect/?focus=oilandgas&amp;zoom=query&amp;querytype=oilandgas&amp;queryvalues=OG_185","OG_185_Map")</f>
        <v>OG_185_Map</v>
      </c>
      <c r="F186" s="1" t="s">
        <v>1263</v>
      </c>
      <c r="G186" s="1" t="s">
        <v>79</v>
      </c>
      <c r="H186" s="1" t="s">
        <v>128</v>
      </c>
      <c r="I186" s="1" t="s">
        <v>2307</v>
      </c>
      <c r="J186" s="17" t="s">
        <v>82</v>
      </c>
      <c r="K186" s="17" t="s">
        <v>83</v>
      </c>
      <c r="L186" s="17"/>
      <c r="M186" s="17"/>
      <c r="N186" s="52" t="s">
        <v>130</v>
      </c>
      <c r="O186" s="17" t="s">
        <v>86</v>
      </c>
      <c r="P186" s="17" t="s">
        <v>86</v>
      </c>
      <c r="Q186" s="81" t="s">
        <v>2308</v>
      </c>
      <c r="R186" s="11">
        <v>30.939803000000001</v>
      </c>
      <c r="S186" s="11">
        <v>-85.343283</v>
      </c>
      <c r="T186" s="11" t="s">
        <v>2309</v>
      </c>
      <c r="U186" s="11" t="s">
        <v>2310</v>
      </c>
      <c r="V186" s="17" t="s">
        <v>2311</v>
      </c>
      <c r="W186" s="17" t="s">
        <v>110</v>
      </c>
      <c r="X186" s="70">
        <v>133.6</v>
      </c>
      <c r="Y186" s="70">
        <v>125.3</v>
      </c>
      <c r="Z186" s="13">
        <v>19708</v>
      </c>
      <c r="AA186" s="13">
        <v>19716</v>
      </c>
      <c r="AB186" s="13">
        <v>19725</v>
      </c>
      <c r="AC186" s="13">
        <v>19725</v>
      </c>
      <c r="AD186" s="86">
        <v>3819</v>
      </c>
      <c r="AE186" s="86">
        <v>3819</v>
      </c>
      <c r="AF186" s="70" t="s">
        <v>1941</v>
      </c>
      <c r="AG186" s="17" t="s">
        <v>2312</v>
      </c>
      <c r="AH186" s="17" t="s">
        <v>94</v>
      </c>
      <c r="AI186" s="70" t="s">
        <v>94</v>
      </c>
      <c r="AJ186" s="17" t="s">
        <v>94</v>
      </c>
      <c r="AK186" s="17" t="s">
        <v>95</v>
      </c>
      <c r="AL186" s="17" t="s">
        <v>94</v>
      </c>
      <c r="AM186" s="17" t="s">
        <v>94</v>
      </c>
      <c r="AN186" s="17" t="s">
        <v>94</v>
      </c>
      <c r="AO186" s="17" t="s">
        <v>98</v>
      </c>
      <c r="AP186" s="17" t="s">
        <v>98</v>
      </c>
      <c r="AQ186" s="17" t="s">
        <v>98</v>
      </c>
      <c r="AR186" s="17" t="s">
        <v>94</v>
      </c>
      <c r="AS186" s="17" t="s">
        <v>2313</v>
      </c>
      <c r="AT186" s="17"/>
      <c r="AU186" s="30" t="s">
        <v>2314</v>
      </c>
      <c r="AV186" s="14">
        <v>3178</v>
      </c>
      <c r="AW186" s="74"/>
      <c r="AX186" s="1"/>
      <c r="AY186" s="17" t="s">
        <v>101</v>
      </c>
    </row>
    <row r="187" spans="1:51" ht="12.75" customHeight="1" x14ac:dyDescent="0.25">
      <c r="A187" s="5">
        <v>186</v>
      </c>
      <c r="B187" s="9">
        <v>186</v>
      </c>
      <c r="C187" s="9" t="s">
        <v>2315</v>
      </c>
      <c r="D187" s="57" t="str">
        <f>HYPERLINK("http://prodenv.dep.state.fl.us/DepNexus/public/electronic-documents/OG_186/facility!search","OG_186_Docs")</f>
        <v>OG_186_Docs</v>
      </c>
      <c r="E187" s="57" t="str">
        <f>HYPERLINK("https://ca.dep.state.fl.us/mapdirect/?focus=oilandgas&amp;zoom=query&amp;querytype=oilandgas&amp;queryvalues=OG_186","OG_186_Map")</f>
        <v>OG_186_Map</v>
      </c>
      <c r="F187" s="1" t="s">
        <v>829</v>
      </c>
      <c r="G187" s="1" t="s">
        <v>79</v>
      </c>
      <c r="H187" s="1" t="s">
        <v>128</v>
      </c>
      <c r="I187" s="1" t="s">
        <v>2316</v>
      </c>
      <c r="J187" s="17" t="s">
        <v>82</v>
      </c>
      <c r="K187" s="17" t="s">
        <v>83</v>
      </c>
      <c r="L187" s="17"/>
      <c r="M187" s="17" t="s">
        <v>101</v>
      </c>
      <c r="N187" s="52" t="s">
        <v>130</v>
      </c>
      <c r="O187" s="17" t="s">
        <v>86</v>
      </c>
      <c r="P187" s="17" t="s">
        <v>86</v>
      </c>
      <c r="Q187" s="81" t="s">
        <v>2317</v>
      </c>
      <c r="R187" s="11">
        <v>30.817094000000001</v>
      </c>
      <c r="S187" s="11">
        <v>-86.451223999999996</v>
      </c>
      <c r="T187" s="11" t="s">
        <v>2318</v>
      </c>
      <c r="U187" s="11" t="s">
        <v>2319</v>
      </c>
      <c r="V187" s="17" t="s">
        <v>2320</v>
      </c>
      <c r="W187" s="17" t="s">
        <v>110</v>
      </c>
      <c r="X187" s="70">
        <v>211.3</v>
      </c>
      <c r="Y187" s="70">
        <v>202.5</v>
      </c>
      <c r="Z187" s="13">
        <v>19722</v>
      </c>
      <c r="AA187" s="13">
        <v>19748</v>
      </c>
      <c r="AB187" s="13">
        <v>19758</v>
      </c>
      <c r="AC187" s="13">
        <v>19758</v>
      </c>
      <c r="AD187" s="86">
        <v>5700</v>
      </c>
      <c r="AE187" s="86">
        <v>5700</v>
      </c>
      <c r="AF187" s="70" t="s">
        <v>988</v>
      </c>
      <c r="AG187" s="17" t="s">
        <v>2321</v>
      </c>
      <c r="AH187" s="17" t="s">
        <v>94</v>
      </c>
      <c r="AI187" s="70" t="s">
        <v>94</v>
      </c>
      <c r="AJ187" s="17" t="s">
        <v>94</v>
      </c>
      <c r="AK187" s="17" t="s">
        <v>95</v>
      </c>
      <c r="AL187" s="17" t="s">
        <v>94</v>
      </c>
      <c r="AM187" s="17" t="s">
        <v>94</v>
      </c>
      <c r="AN187" s="17" t="s">
        <v>94</v>
      </c>
      <c r="AO187" s="17" t="s">
        <v>98</v>
      </c>
      <c r="AP187" s="17" t="s">
        <v>98</v>
      </c>
      <c r="AQ187" s="17" t="s">
        <v>98</v>
      </c>
      <c r="AR187" s="17" t="s">
        <v>94</v>
      </c>
      <c r="AS187" s="17" t="s">
        <v>2322</v>
      </c>
      <c r="AT187" s="17">
        <v>120</v>
      </c>
      <c r="AU187" s="30" t="s">
        <v>2323</v>
      </c>
      <c r="AV187" s="14">
        <v>3176</v>
      </c>
      <c r="AW187" s="74"/>
      <c r="AX187" s="1"/>
      <c r="AY187" s="17" t="s">
        <v>101</v>
      </c>
    </row>
    <row r="188" spans="1:51" ht="12.75" customHeight="1" x14ac:dyDescent="0.25">
      <c r="A188" s="5">
        <v>187</v>
      </c>
      <c r="B188" s="9">
        <v>187</v>
      </c>
      <c r="C188" s="9" t="s">
        <v>2324</v>
      </c>
      <c r="D188" s="57" t="str">
        <f>HYPERLINK("http://prodenv.dep.state.fl.us/DepNexus/public/electronic-documents/OG_187/facility!search","OG_187_Docs")</f>
        <v>OG_187_Docs</v>
      </c>
      <c r="E188" s="57" t="str">
        <f>HYPERLINK("https://ca.dep.state.fl.us/mapdirect/?focus=oilandgas&amp;zoom=query&amp;querytype=oilandgas&amp;queryvalues=OG_187","OG_187_Map")</f>
        <v>OG_187_Map</v>
      </c>
      <c r="F188" s="1" t="s">
        <v>1797</v>
      </c>
      <c r="G188" s="1" t="s">
        <v>79</v>
      </c>
      <c r="H188" s="1" t="s">
        <v>1874</v>
      </c>
      <c r="I188" s="1" t="s">
        <v>2325</v>
      </c>
      <c r="J188" s="17" t="s">
        <v>82</v>
      </c>
      <c r="K188" s="17" t="s">
        <v>83</v>
      </c>
      <c r="L188" s="17"/>
      <c r="M188" s="17"/>
      <c r="N188" s="52" t="s">
        <v>130</v>
      </c>
      <c r="O188" s="17" t="s">
        <v>86</v>
      </c>
      <c r="P188" s="17" t="s">
        <v>86</v>
      </c>
      <c r="Q188" s="81" t="s">
        <v>2326</v>
      </c>
      <c r="R188" s="11">
        <v>30.733347999999999</v>
      </c>
      <c r="S188" s="11">
        <v>-86.905671999999996</v>
      </c>
      <c r="T188" s="11" t="s">
        <v>2327</v>
      </c>
      <c r="U188" s="11" t="s">
        <v>2328</v>
      </c>
      <c r="V188" s="17" t="s">
        <v>2329</v>
      </c>
      <c r="W188" s="17" t="s">
        <v>110</v>
      </c>
      <c r="X188" s="70">
        <v>114.37</v>
      </c>
      <c r="Y188" s="70">
        <v>106.5</v>
      </c>
      <c r="Z188" s="13">
        <v>19743</v>
      </c>
      <c r="AA188" s="13">
        <v>19745</v>
      </c>
      <c r="AB188" s="13">
        <v>19766</v>
      </c>
      <c r="AC188" s="13">
        <v>19767</v>
      </c>
      <c r="AD188" s="86">
        <v>6750</v>
      </c>
      <c r="AE188" s="86">
        <v>6750</v>
      </c>
      <c r="AF188" s="70" t="s">
        <v>94</v>
      </c>
      <c r="AG188" s="17" t="s">
        <v>2330</v>
      </c>
      <c r="AH188" s="17" t="s">
        <v>94</v>
      </c>
      <c r="AI188" s="70" t="s">
        <v>94</v>
      </c>
      <c r="AJ188" s="17" t="s">
        <v>94</v>
      </c>
      <c r="AK188" s="17" t="s">
        <v>95</v>
      </c>
      <c r="AL188" s="17" t="s">
        <v>94</v>
      </c>
      <c r="AM188" s="17" t="s">
        <v>94</v>
      </c>
      <c r="AN188" s="17" t="s">
        <v>94</v>
      </c>
      <c r="AO188" s="17" t="s">
        <v>98</v>
      </c>
      <c r="AP188" s="17" t="s">
        <v>98</v>
      </c>
      <c r="AQ188" s="17" t="s">
        <v>98</v>
      </c>
      <c r="AR188" s="17" t="s">
        <v>94</v>
      </c>
      <c r="AS188" s="17" t="s">
        <v>2331</v>
      </c>
      <c r="AT188" s="17"/>
      <c r="AU188" s="30" t="s">
        <v>2332</v>
      </c>
      <c r="AV188" s="14">
        <v>3213</v>
      </c>
      <c r="AW188" s="74"/>
      <c r="AX188" s="1"/>
      <c r="AY188" s="17" t="s">
        <v>101</v>
      </c>
    </row>
    <row r="189" spans="1:51" ht="12.75" customHeight="1" x14ac:dyDescent="0.25">
      <c r="A189" s="5">
        <v>188</v>
      </c>
      <c r="B189" s="9">
        <v>188</v>
      </c>
      <c r="C189" s="9" t="s">
        <v>2333</v>
      </c>
      <c r="D189" s="57" t="str">
        <f>HYPERLINK("http://prodenv.dep.state.fl.us/DepNexus/public/electronic-documents/OG_188/facility!search","OG_188_Docs")</f>
        <v>OG_188_Docs</v>
      </c>
      <c r="E189" s="57" t="str">
        <f>HYPERLINK("https://ca.dep.state.fl.us/mapdirect/?focus=oilandgas&amp;zoom=query&amp;querytype=oilandgas&amp;queryvalues=OG_188","OG_188_Map")</f>
        <v>OG_188_Map</v>
      </c>
      <c r="F189" s="1" t="s">
        <v>841</v>
      </c>
      <c r="G189" s="1" t="s">
        <v>79</v>
      </c>
      <c r="H189" s="1" t="s">
        <v>2334</v>
      </c>
      <c r="I189" s="1" t="s">
        <v>2335</v>
      </c>
      <c r="J189" s="17" t="s">
        <v>82</v>
      </c>
      <c r="K189" s="17" t="s">
        <v>83</v>
      </c>
      <c r="L189" s="17"/>
      <c r="M189" s="17"/>
      <c r="N189" s="52" t="s">
        <v>130</v>
      </c>
      <c r="O189" s="17" t="s">
        <v>86</v>
      </c>
      <c r="P189" s="17" t="s">
        <v>86</v>
      </c>
      <c r="Q189" s="81" t="s">
        <v>2336</v>
      </c>
      <c r="R189" s="11">
        <v>30.789128000000002</v>
      </c>
      <c r="S189" s="11">
        <v>-85.895099999999999</v>
      </c>
      <c r="T189" s="11" t="s">
        <v>2337</v>
      </c>
      <c r="U189" s="11" t="s">
        <v>2338</v>
      </c>
      <c r="V189" s="17" t="s">
        <v>998</v>
      </c>
      <c r="W189" s="17" t="s">
        <v>110</v>
      </c>
      <c r="X189" s="70">
        <v>86</v>
      </c>
      <c r="Y189" s="70">
        <v>77</v>
      </c>
      <c r="Z189" s="13">
        <v>19771</v>
      </c>
      <c r="AA189" s="13">
        <v>19785</v>
      </c>
      <c r="AB189" s="13">
        <v>19794</v>
      </c>
      <c r="AC189" s="13">
        <v>19794</v>
      </c>
      <c r="AD189" s="86">
        <v>4310</v>
      </c>
      <c r="AE189" s="86">
        <v>4310</v>
      </c>
      <c r="AF189" s="70" t="s">
        <v>2339</v>
      </c>
      <c r="AG189" s="17" t="s">
        <v>2340</v>
      </c>
      <c r="AH189" s="17" t="s">
        <v>94</v>
      </c>
      <c r="AI189" s="70" t="s">
        <v>94</v>
      </c>
      <c r="AJ189" s="17" t="s">
        <v>94</v>
      </c>
      <c r="AK189" s="17" t="s">
        <v>95</v>
      </c>
      <c r="AL189" s="17" t="s">
        <v>94</v>
      </c>
      <c r="AM189" s="17" t="s">
        <v>94</v>
      </c>
      <c r="AN189" s="17" t="s">
        <v>94</v>
      </c>
      <c r="AO189" s="17" t="s">
        <v>98</v>
      </c>
      <c r="AP189" s="17" t="s">
        <v>98</v>
      </c>
      <c r="AQ189" s="17" t="s">
        <v>98</v>
      </c>
      <c r="AR189" s="17" t="s">
        <v>94</v>
      </c>
      <c r="AS189" s="17" t="s">
        <v>2341</v>
      </c>
      <c r="AT189" s="17"/>
      <c r="AU189" s="30" t="s">
        <v>2342</v>
      </c>
      <c r="AV189" s="14">
        <v>3299</v>
      </c>
      <c r="AW189" s="74"/>
      <c r="AX189" s="1"/>
      <c r="AY189" s="17" t="s">
        <v>101</v>
      </c>
    </row>
    <row r="190" spans="1:51" ht="12.75" customHeight="1" x14ac:dyDescent="0.25">
      <c r="A190" s="5">
        <v>189</v>
      </c>
      <c r="B190" s="9">
        <v>189</v>
      </c>
      <c r="C190" s="9" t="s">
        <v>2343</v>
      </c>
      <c r="D190" s="57" t="str">
        <f>HYPERLINK("http://prodenv.dep.state.fl.us/DepNexus/public/electronic-documents/OG_189/facility!search","OG_189_Docs")</f>
        <v>OG_189_Docs</v>
      </c>
      <c r="E190" s="57" t="str">
        <f>HYPERLINK("https://ca.dep.state.fl.us/mapdirect/?focus=oilandgas&amp;zoom=query&amp;querytype=oilandgas&amp;queryvalues=OG_189","OG_189_Map")</f>
        <v>OG_189_Map</v>
      </c>
      <c r="F190" s="1" t="s">
        <v>841</v>
      </c>
      <c r="G190" s="1" t="s">
        <v>79</v>
      </c>
      <c r="H190" s="1" t="s">
        <v>2334</v>
      </c>
      <c r="I190" s="1" t="s">
        <v>2344</v>
      </c>
      <c r="J190" s="17" t="s">
        <v>82</v>
      </c>
      <c r="K190" s="17" t="s">
        <v>83</v>
      </c>
      <c r="L190" s="17"/>
      <c r="M190" s="17"/>
      <c r="N190" s="52" t="s">
        <v>130</v>
      </c>
      <c r="O190" s="17" t="s">
        <v>86</v>
      </c>
      <c r="P190" s="17" t="s">
        <v>86</v>
      </c>
      <c r="Q190" s="81" t="s">
        <v>2345</v>
      </c>
      <c r="R190" s="11">
        <v>30.803657000000001</v>
      </c>
      <c r="S190" s="11">
        <v>-85.861575999999999</v>
      </c>
      <c r="T190" s="11" t="s">
        <v>2346</v>
      </c>
      <c r="U190" s="11" t="s">
        <v>2347</v>
      </c>
      <c r="V190" s="17" t="s">
        <v>2348</v>
      </c>
      <c r="W190" s="17" t="s">
        <v>110</v>
      </c>
      <c r="X190" s="70">
        <v>81</v>
      </c>
      <c r="Y190" s="70">
        <v>72</v>
      </c>
      <c r="Z190" s="13">
        <v>19771</v>
      </c>
      <c r="AA190" s="13">
        <v>19761</v>
      </c>
      <c r="AB190" s="13">
        <v>19781</v>
      </c>
      <c r="AC190" s="13">
        <v>19781</v>
      </c>
      <c r="AD190" s="86">
        <v>4192</v>
      </c>
      <c r="AE190" s="86">
        <v>4192</v>
      </c>
      <c r="AF190" s="70" t="s">
        <v>2349</v>
      </c>
      <c r="AG190" s="17" t="s">
        <v>2350</v>
      </c>
      <c r="AH190" s="17" t="s">
        <v>94</v>
      </c>
      <c r="AI190" s="70" t="s">
        <v>94</v>
      </c>
      <c r="AJ190" s="17" t="s">
        <v>94</v>
      </c>
      <c r="AK190" s="17" t="s">
        <v>95</v>
      </c>
      <c r="AL190" s="17" t="s">
        <v>94</v>
      </c>
      <c r="AM190" s="17" t="s">
        <v>94</v>
      </c>
      <c r="AN190" s="17" t="s">
        <v>94</v>
      </c>
      <c r="AO190" s="17" t="s">
        <v>98</v>
      </c>
      <c r="AP190" s="17" t="s">
        <v>98</v>
      </c>
      <c r="AQ190" s="17" t="s">
        <v>98</v>
      </c>
      <c r="AR190" s="17" t="s">
        <v>94</v>
      </c>
      <c r="AS190" s="17" t="s">
        <v>2351</v>
      </c>
      <c r="AT190" s="17"/>
      <c r="AU190" s="30" t="s">
        <v>2352</v>
      </c>
      <c r="AV190" s="14">
        <v>3298</v>
      </c>
      <c r="AW190" s="74"/>
      <c r="AX190" s="1"/>
      <c r="AY190" s="17" t="s">
        <v>101</v>
      </c>
    </row>
    <row r="191" spans="1:51" ht="12.75" customHeight="1" x14ac:dyDescent="0.25">
      <c r="A191" s="5">
        <v>190</v>
      </c>
      <c r="B191" s="9">
        <v>190</v>
      </c>
      <c r="C191" s="9" t="s">
        <v>2353</v>
      </c>
      <c r="D191" s="57" t="str">
        <f>HYPERLINK("http://prodenv.dep.state.fl.us/DepNexus/public/electronic-documents/OG_190/facility!search","OG_190_Docs")</f>
        <v>OG_190_Docs</v>
      </c>
      <c r="E191" s="57" t="str">
        <f>HYPERLINK("https://ca.dep.state.fl.us/mapdirect/?focus=oilandgas&amp;zoom=query&amp;querytype=oilandgas&amp;queryvalues=OG_190","OG_190_Map")</f>
        <v>OG_190_Map</v>
      </c>
      <c r="F191" s="1" t="s">
        <v>2354</v>
      </c>
      <c r="G191" s="1" t="s">
        <v>79</v>
      </c>
      <c r="H191" s="1" t="s">
        <v>2355</v>
      </c>
      <c r="I191" s="1" t="s">
        <v>2356</v>
      </c>
      <c r="J191" s="17" t="s">
        <v>82</v>
      </c>
      <c r="K191" s="17" t="s">
        <v>83</v>
      </c>
      <c r="L191" s="17"/>
      <c r="M191" s="17"/>
      <c r="N191" s="52" t="s">
        <v>86</v>
      </c>
      <c r="O191" s="17" t="s">
        <v>86</v>
      </c>
      <c r="P191" s="17" t="s">
        <v>86</v>
      </c>
      <c r="Q191" s="81" t="s">
        <v>2357</v>
      </c>
      <c r="R191" s="11">
        <v>28.173652000000001</v>
      </c>
      <c r="S191" s="11">
        <v>-82.647191000000007</v>
      </c>
      <c r="T191" s="11" t="s">
        <v>2358</v>
      </c>
      <c r="U191" s="11" t="s">
        <v>2359</v>
      </c>
      <c r="V191" s="17" t="s">
        <v>2360</v>
      </c>
      <c r="W191" s="17" t="s">
        <v>110</v>
      </c>
      <c r="X191" s="70"/>
      <c r="Y191" s="70">
        <v>37</v>
      </c>
      <c r="Z191" s="13">
        <v>19806</v>
      </c>
      <c r="AA191" s="13">
        <v>19810</v>
      </c>
      <c r="AB191" s="13">
        <v>21139</v>
      </c>
      <c r="AC191" s="13"/>
      <c r="AD191" s="86">
        <v>603</v>
      </c>
      <c r="AE191" s="86">
        <v>603</v>
      </c>
      <c r="AF191" s="70" t="s">
        <v>2361</v>
      </c>
      <c r="AG191" s="17" t="s">
        <v>94</v>
      </c>
      <c r="AH191" s="17" t="s">
        <v>94</v>
      </c>
      <c r="AI191" s="70" t="s">
        <v>94</v>
      </c>
      <c r="AJ191" s="17" t="s">
        <v>94</v>
      </c>
      <c r="AK191" s="17" t="s">
        <v>95</v>
      </c>
      <c r="AL191" s="17" t="s">
        <v>94</v>
      </c>
      <c r="AM191" s="17" t="s">
        <v>94</v>
      </c>
      <c r="AN191" s="17" t="s">
        <v>94</v>
      </c>
      <c r="AO191" s="17" t="s">
        <v>98</v>
      </c>
      <c r="AP191" s="17" t="s">
        <v>98</v>
      </c>
      <c r="AQ191" s="17" t="s">
        <v>98</v>
      </c>
      <c r="AR191" s="17" t="s">
        <v>94</v>
      </c>
      <c r="AS191" s="17" t="s">
        <v>94</v>
      </c>
      <c r="AT191" s="17" t="s">
        <v>94</v>
      </c>
      <c r="AU191" s="30" t="s">
        <v>2362</v>
      </c>
      <c r="AV191" s="14">
        <v>4645</v>
      </c>
      <c r="AW191" s="74"/>
      <c r="AX191" s="1" t="s">
        <v>2363</v>
      </c>
      <c r="AY191" s="17" t="s">
        <v>101</v>
      </c>
    </row>
    <row r="192" spans="1:51" ht="12.75" customHeight="1" x14ac:dyDescent="0.25">
      <c r="A192" s="5">
        <v>191</v>
      </c>
      <c r="B192" s="9">
        <v>191</v>
      </c>
      <c r="C192" s="9" t="s">
        <v>2364</v>
      </c>
      <c r="D192" s="57" t="str">
        <f>HYPERLINK("http://prodenv.dep.state.fl.us/DepNexus/public/electronic-documents/OG_191/facility!search","OG_191_Docs")</f>
        <v>OG_191_Docs</v>
      </c>
      <c r="E192" s="57" t="str">
        <f>HYPERLINK("https://ca.dep.state.fl.us/mapdirect/?focus=oilandgas&amp;zoom=query&amp;querytype=oilandgas&amp;queryvalues=OG_191","OG_191_Map")</f>
        <v>OG_191_Map</v>
      </c>
      <c r="F192" s="1" t="s">
        <v>1752</v>
      </c>
      <c r="G192" s="1" t="s">
        <v>79</v>
      </c>
      <c r="H192" s="1" t="s">
        <v>1740</v>
      </c>
      <c r="I192" s="1" t="s">
        <v>2365</v>
      </c>
      <c r="J192" s="17" t="s">
        <v>82</v>
      </c>
      <c r="K192" s="17" t="s">
        <v>83</v>
      </c>
      <c r="L192" s="17"/>
      <c r="M192" s="17"/>
      <c r="N192" s="52" t="s">
        <v>2366</v>
      </c>
      <c r="O192" s="17" t="s">
        <v>86</v>
      </c>
      <c r="P192" s="17" t="s">
        <v>86</v>
      </c>
      <c r="Q192" s="81" t="s">
        <v>2066</v>
      </c>
      <c r="R192" s="11">
        <v>26.541132999999999</v>
      </c>
      <c r="S192" s="11">
        <v>-81.468603999999999</v>
      </c>
      <c r="T192" s="11" t="s">
        <v>2367</v>
      </c>
      <c r="U192" s="11" t="s">
        <v>2368</v>
      </c>
      <c r="V192" s="17" t="s">
        <v>835</v>
      </c>
      <c r="W192" s="17" t="s">
        <v>110</v>
      </c>
      <c r="X192" s="70">
        <v>50</v>
      </c>
      <c r="Y192" s="70">
        <v>38</v>
      </c>
      <c r="Z192" s="13">
        <v>19820</v>
      </c>
      <c r="AA192" s="13">
        <v>19822</v>
      </c>
      <c r="AB192" s="13">
        <v>19890</v>
      </c>
      <c r="AC192" s="13">
        <v>19890</v>
      </c>
      <c r="AD192" s="86">
        <v>11668</v>
      </c>
      <c r="AE192" s="86">
        <v>11668</v>
      </c>
      <c r="AF192" s="70" t="s">
        <v>275</v>
      </c>
      <c r="AG192" s="17" t="s">
        <v>2369</v>
      </c>
      <c r="AH192" s="17" t="s">
        <v>2370</v>
      </c>
      <c r="AI192" s="70" t="s">
        <v>94</v>
      </c>
      <c r="AJ192" s="17" t="s">
        <v>94</v>
      </c>
      <c r="AK192" s="17" t="s">
        <v>95</v>
      </c>
      <c r="AL192" s="17" t="s">
        <v>95</v>
      </c>
      <c r="AM192" s="17" t="s">
        <v>94</v>
      </c>
      <c r="AN192" s="17" t="s">
        <v>2371</v>
      </c>
      <c r="AO192" s="17" t="s">
        <v>2372</v>
      </c>
      <c r="AP192" s="17" t="s">
        <v>94</v>
      </c>
      <c r="AQ192" s="17" t="s">
        <v>2373</v>
      </c>
      <c r="AR192" s="17" t="s">
        <v>94</v>
      </c>
      <c r="AS192" s="17" t="s">
        <v>2374</v>
      </c>
      <c r="AT192" s="17"/>
      <c r="AU192" s="30" t="s">
        <v>2375</v>
      </c>
      <c r="AV192" s="14">
        <v>3319</v>
      </c>
      <c r="AW192" s="74"/>
      <c r="AX192" s="24" t="s">
        <v>2376</v>
      </c>
      <c r="AY192" s="17" t="s">
        <v>101</v>
      </c>
    </row>
    <row r="193" spans="1:51" ht="12.75" customHeight="1" x14ac:dyDescent="0.25">
      <c r="A193" s="5">
        <v>192</v>
      </c>
      <c r="B193" s="9">
        <v>192</v>
      </c>
      <c r="C193" s="9" t="s">
        <v>2377</v>
      </c>
      <c r="D193" s="57" t="str">
        <f>HYPERLINK("http://prodenv.dep.state.fl.us/DepNexus/public/electronic-documents/OG_192/facility!search","OG_192_Docs")</f>
        <v>OG_192_Docs</v>
      </c>
      <c r="E193" s="57" t="str">
        <f>HYPERLINK("https://ca.dep.state.fl.us/mapdirect/?focus=oilandgas&amp;zoom=query&amp;querytype=oilandgas&amp;queryvalues=OG_192","OG_192_Map")</f>
        <v>OG_192_Map</v>
      </c>
      <c r="F193" s="1" t="s">
        <v>829</v>
      </c>
      <c r="G193" s="1" t="s">
        <v>79</v>
      </c>
      <c r="H193" s="1" t="s">
        <v>128</v>
      </c>
      <c r="I193" s="1" t="s">
        <v>2378</v>
      </c>
      <c r="J193" s="17" t="s">
        <v>82</v>
      </c>
      <c r="K193" s="17" t="s">
        <v>83</v>
      </c>
      <c r="L193" s="17"/>
      <c r="M193" s="17" t="s">
        <v>101</v>
      </c>
      <c r="N193" s="52" t="s">
        <v>130</v>
      </c>
      <c r="O193" s="17" t="s">
        <v>86</v>
      </c>
      <c r="P193" s="17" t="s">
        <v>86</v>
      </c>
      <c r="Q193" s="81" t="s">
        <v>2379</v>
      </c>
      <c r="R193" s="11">
        <v>30.938616</v>
      </c>
      <c r="S193" s="11">
        <v>-86.396893000000006</v>
      </c>
      <c r="T193" s="11" t="s">
        <v>2380</v>
      </c>
      <c r="U193" s="11" t="s">
        <v>2381</v>
      </c>
      <c r="V193" s="17" t="s">
        <v>1390</v>
      </c>
      <c r="W193" s="17" t="s">
        <v>110</v>
      </c>
      <c r="X193" s="70">
        <v>158</v>
      </c>
      <c r="Y193" s="70">
        <v>149</v>
      </c>
      <c r="Z193" s="13">
        <v>19834</v>
      </c>
      <c r="AA193" s="13">
        <v>19836</v>
      </c>
      <c r="AB193" s="13">
        <v>19849</v>
      </c>
      <c r="AC193" s="13">
        <v>19849</v>
      </c>
      <c r="AD193" s="86">
        <v>5423</v>
      </c>
      <c r="AE193" s="86">
        <v>5423</v>
      </c>
      <c r="AF193" s="70" t="s">
        <v>1650</v>
      </c>
      <c r="AG193" s="17" t="s">
        <v>2382</v>
      </c>
      <c r="AH193" s="17" t="s">
        <v>94</v>
      </c>
      <c r="AI193" s="70" t="s">
        <v>94</v>
      </c>
      <c r="AJ193" s="17" t="s">
        <v>94</v>
      </c>
      <c r="AK193" s="17" t="s">
        <v>95</v>
      </c>
      <c r="AL193" s="17" t="s">
        <v>95</v>
      </c>
      <c r="AM193" s="17" t="s">
        <v>94</v>
      </c>
      <c r="AN193" s="17" t="s">
        <v>94</v>
      </c>
      <c r="AO193" s="17" t="s">
        <v>98</v>
      </c>
      <c r="AP193" s="17" t="s">
        <v>98</v>
      </c>
      <c r="AQ193" s="17" t="s">
        <v>98</v>
      </c>
      <c r="AR193" s="17" t="s">
        <v>94</v>
      </c>
      <c r="AS193" s="17" t="s">
        <v>2383</v>
      </c>
      <c r="AT193" s="17">
        <v>132</v>
      </c>
      <c r="AU193" s="30" t="s">
        <v>2384</v>
      </c>
      <c r="AV193" s="14">
        <v>3300</v>
      </c>
      <c r="AW193" s="74"/>
      <c r="AX193" s="1"/>
      <c r="AY193" s="17" t="s">
        <v>101</v>
      </c>
    </row>
    <row r="194" spans="1:51" ht="12.75" customHeight="1" x14ac:dyDescent="0.25">
      <c r="A194" s="5">
        <v>193</v>
      </c>
      <c r="B194" s="9">
        <v>193</v>
      </c>
      <c r="C194" s="9" t="s">
        <v>2385</v>
      </c>
      <c r="D194" s="57" t="str">
        <f>HYPERLINK("http://prodenv.dep.state.fl.us/DepNexus/public/electronic-documents/OG_193/facility!search","OG_193_Docs")</f>
        <v>OG_193_Docs</v>
      </c>
      <c r="E194" s="57" t="str">
        <f>HYPERLINK("https://ca.dep.state.fl.us/mapdirect/?focus=oilandgas&amp;zoom=query&amp;querytype=oilandgas&amp;queryvalues=OG_193","OG_193_Map")</f>
        <v>OG_193_Map</v>
      </c>
      <c r="F194" s="1" t="s">
        <v>829</v>
      </c>
      <c r="G194" s="1" t="s">
        <v>79</v>
      </c>
      <c r="H194" s="1" t="s">
        <v>2386</v>
      </c>
      <c r="I194" s="1" t="s">
        <v>2387</v>
      </c>
      <c r="J194" s="17" t="s">
        <v>82</v>
      </c>
      <c r="K194" s="17" t="s">
        <v>83</v>
      </c>
      <c r="L194" s="17"/>
      <c r="M194" s="17" t="s">
        <v>101</v>
      </c>
      <c r="N194" s="52" t="s">
        <v>130</v>
      </c>
      <c r="O194" s="17" t="s">
        <v>86</v>
      </c>
      <c r="P194" s="17" t="s">
        <v>86</v>
      </c>
      <c r="Q194" s="81" t="s">
        <v>2388</v>
      </c>
      <c r="R194" s="11">
        <v>30.409589</v>
      </c>
      <c r="S194" s="11">
        <v>-86.483035000000001</v>
      </c>
      <c r="T194" s="11" t="s">
        <v>2389</v>
      </c>
      <c r="U194" s="11" t="s">
        <v>2390</v>
      </c>
      <c r="V194" s="17" t="s">
        <v>2391</v>
      </c>
      <c r="W194" s="17" t="s">
        <v>110</v>
      </c>
      <c r="X194" s="70">
        <v>27</v>
      </c>
      <c r="Y194" s="70">
        <v>15.78</v>
      </c>
      <c r="Z194" s="13">
        <v>19834</v>
      </c>
      <c r="AA194" s="13">
        <v>19853</v>
      </c>
      <c r="AB194" s="13">
        <v>19863</v>
      </c>
      <c r="AC194" s="13">
        <v>19863</v>
      </c>
      <c r="AD194" s="86">
        <v>6250</v>
      </c>
      <c r="AE194" s="86">
        <v>6250</v>
      </c>
      <c r="AF194" s="70" t="s">
        <v>94</v>
      </c>
      <c r="AG194" s="17" t="s">
        <v>2392</v>
      </c>
      <c r="AH194" s="17" t="s">
        <v>94</v>
      </c>
      <c r="AI194" s="70" t="s">
        <v>94</v>
      </c>
      <c r="AJ194" s="17" t="s">
        <v>94</v>
      </c>
      <c r="AK194" s="17" t="s">
        <v>95</v>
      </c>
      <c r="AL194" s="17" t="s">
        <v>95</v>
      </c>
      <c r="AM194" s="17" t="s">
        <v>95</v>
      </c>
      <c r="AN194" s="17" t="s">
        <v>94</v>
      </c>
      <c r="AO194" s="17" t="s">
        <v>98</v>
      </c>
      <c r="AP194" s="17" t="s">
        <v>98</v>
      </c>
      <c r="AQ194" s="17" t="s">
        <v>98</v>
      </c>
      <c r="AR194" s="17" t="s">
        <v>94</v>
      </c>
      <c r="AS194" s="17" t="s">
        <v>2393</v>
      </c>
      <c r="AT194" s="17">
        <v>142</v>
      </c>
      <c r="AU194" s="30" t="s">
        <v>2394</v>
      </c>
      <c r="AV194" s="14">
        <v>3225</v>
      </c>
      <c r="AW194" s="74"/>
      <c r="AX194" s="1"/>
      <c r="AY194" s="17" t="s">
        <v>101</v>
      </c>
    </row>
    <row r="195" spans="1:51" ht="12.75" customHeight="1" x14ac:dyDescent="0.25">
      <c r="A195" s="5">
        <v>194</v>
      </c>
      <c r="B195" s="9">
        <v>194</v>
      </c>
      <c r="C195" s="9" t="s">
        <v>2395</v>
      </c>
      <c r="D195" s="57" t="str">
        <f>HYPERLINK("http://prodenv.dep.state.fl.us/DepNexus/public/electronic-documents/OG_194/facility!search","OG_194_Docs")</f>
        <v>OG_194_Docs</v>
      </c>
      <c r="E195" s="57" t="str">
        <f>HYPERLINK("https://ca.dep.state.fl.us/mapdirect/?focus=oilandgas&amp;zoom=query&amp;querytype=oilandgas&amp;queryvalues=OG_194","OG_194_Map")</f>
        <v>OG_194_Map</v>
      </c>
      <c r="F195" s="1" t="s">
        <v>539</v>
      </c>
      <c r="G195" s="1" t="s">
        <v>79</v>
      </c>
      <c r="H195" s="1" t="s">
        <v>1970</v>
      </c>
      <c r="I195" s="1" t="s">
        <v>2396</v>
      </c>
      <c r="J195" s="17" t="s">
        <v>82</v>
      </c>
      <c r="K195" s="17" t="s">
        <v>83</v>
      </c>
      <c r="L195" s="17"/>
      <c r="M195" s="17"/>
      <c r="N195" s="52" t="s">
        <v>1981</v>
      </c>
      <c r="O195" s="17" t="s">
        <v>86</v>
      </c>
      <c r="P195" s="17" t="s">
        <v>86</v>
      </c>
      <c r="Q195" s="81" t="s">
        <v>2397</v>
      </c>
      <c r="R195" s="11">
        <v>30.002977000000001</v>
      </c>
      <c r="S195" s="11">
        <v>-85.149640000000005</v>
      </c>
      <c r="T195" s="11" t="s">
        <v>2398</v>
      </c>
      <c r="U195" s="11" t="s">
        <v>2399</v>
      </c>
      <c r="V195" s="17" t="s">
        <v>2400</v>
      </c>
      <c r="W195" s="17" t="s">
        <v>110</v>
      </c>
      <c r="X195" s="70">
        <v>30</v>
      </c>
      <c r="Y195" s="70">
        <v>25.1</v>
      </c>
      <c r="Z195" s="13">
        <v>19876</v>
      </c>
      <c r="AA195" s="13">
        <v>19864</v>
      </c>
      <c r="AB195" s="13">
        <v>19895</v>
      </c>
      <c r="AC195" s="13">
        <v>19895</v>
      </c>
      <c r="AD195" s="86">
        <v>4996</v>
      </c>
      <c r="AE195" s="86">
        <v>4996</v>
      </c>
      <c r="AF195" s="70" t="s">
        <v>2401</v>
      </c>
      <c r="AG195" s="17" t="s">
        <v>2402</v>
      </c>
      <c r="AH195" s="17" t="s">
        <v>94</v>
      </c>
      <c r="AI195" s="70" t="s">
        <v>94</v>
      </c>
      <c r="AJ195" s="17" t="s">
        <v>94</v>
      </c>
      <c r="AK195" s="17" t="s">
        <v>95</v>
      </c>
      <c r="AL195" s="17" t="s">
        <v>95</v>
      </c>
      <c r="AM195" s="17" t="s">
        <v>94</v>
      </c>
      <c r="AN195" s="17" t="s">
        <v>94</v>
      </c>
      <c r="AO195" s="17" t="s">
        <v>98</v>
      </c>
      <c r="AP195" s="17" t="s">
        <v>98</v>
      </c>
      <c r="AQ195" s="17" t="s">
        <v>98</v>
      </c>
      <c r="AR195" s="17" t="s">
        <v>94</v>
      </c>
      <c r="AS195" s="17" t="s">
        <v>2403</v>
      </c>
      <c r="AT195" s="17">
        <v>130</v>
      </c>
      <c r="AU195" s="30" t="s">
        <v>2404</v>
      </c>
      <c r="AV195" s="14">
        <v>3301</v>
      </c>
      <c r="AW195" s="74"/>
      <c r="AX195" s="1"/>
      <c r="AY195" s="17" t="s">
        <v>101</v>
      </c>
    </row>
    <row r="196" spans="1:51" ht="12.75" customHeight="1" x14ac:dyDescent="0.25">
      <c r="A196" s="5">
        <v>195</v>
      </c>
      <c r="B196" s="9">
        <v>195</v>
      </c>
      <c r="C196" s="9" t="s">
        <v>2405</v>
      </c>
      <c r="D196" s="57" t="str">
        <f>HYPERLINK("http://prodenv.dep.state.fl.us/DepNexus/public/electronic-documents/OG_195/facility!search","OG_195_Docs")</f>
        <v>OG_195_Docs</v>
      </c>
      <c r="E196" s="57" t="str">
        <f>HYPERLINK("https://ca.dep.state.fl.us/mapdirect/?focus=oilandgas&amp;zoom=query&amp;querytype=oilandgas&amp;queryvalues=OG_195","OG_195_Map")</f>
        <v>OG_195_Map</v>
      </c>
      <c r="F196" s="1" t="s">
        <v>103</v>
      </c>
      <c r="G196" s="1" t="s">
        <v>79</v>
      </c>
      <c r="H196" s="1" t="s">
        <v>1970</v>
      </c>
      <c r="I196" s="1" t="s">
        <v>393</v>
      </c>
      <c r="J196" s="17" t="s">
        <v>82</v>
      </c>
      <c r="K196" s="17" t="s">
        <v>83</v>
      </c>
      <c r="L196" s="17"/>
      <c r="M196" s="17"/>
      <c r="N196" s="52" t="s">
        <v>86</v>
      </c>
      <c r="O196" s="17" t="s">
        <v>86</v>
      </c>
      <c r="P196" s="17" t="s">
        <v>86</v>
      </c>
      <c r="Q196" s="81" t="s">
        <v>2406</v>
      </c>
      <c r="R196" s="11">
        <v>30.315467999999999</v>
      </c>
      <c r="S196" s="11">
        <v>-85.251396999999997</v>
      </c>
      <c r="T196" s="11" t="s">
        <v>2407</v>
      </c>
      <c r="U196" s="11" t="s">
        <v>2408</v>
      </c>
      <c r="V196" s="17" t="s">
        <v>809</v>
      </c>
      <c r="W196" s="17" t="s">
        <v>110</v>
      </c>
      <c r="X196" s="70">
        <v>84</v>
      </c>
      <c r="Y196" s="70">
        <v>79.2</v>
      </c>
      <c r="Z196" s="13">
        <v>19883</v>
      </c>
      <c r="AA196" s="13">
        <v>19898</v>
      </c>
      <c r="AB196" s="13">
        <v>19936</v>
      </c>
      <c r="AC196" s="13">
        <v>19936</v>
      </c>
      <c r="AD196" s="86">
        <v>4680</v>
      </c>
      <c r="AE196" s="86">
        <v>4680</v>
      </c>
      <c r="AF196" s="70" t="s">
        <v>2409</v>
      </c>
      <c r="AG196" s="17" t="s">
        <v>2410</v>
      </c>
      <c r="AH196" s="17" t="s">
        <v>94</v>
      </c>
      <c r="AI196" s="70" t="s">
        <v>94</v>
      </c>
      <c r="AJ196" s="17" t="s">
        <v>94</v>
      </c>
      <c r="AK196" s="17" t="s">
        <v>95</v>
      </c>
      <c r="AL196" s="17" t="s">
        <v>94</v>
      </c>
      <c r="AM196" s="17" t="s">
        <v>94</v>
      </c>
      <c r="AN196" s="17" t="s">
        <v>94</v>
      </c>
      <c r="AO196" s="17" t="s">
        <v>98</v>
      </c>
      <c r="AP196" s="17" t="s">
        <v>98</v>
      </c>
      <c r="AQ196" s="17" t="s">
        <v>98</v>
      </c>
      <c r="AR196" s="17" t="s">
        <v>94</v>
      </c>
      <c r="AS196" s="17" t="s">
        <v>2411</v>
      </c>
      <c r="AT196" s="17"/>
      <c r="AU196" s="30" t="s">
        <v>2412</v>
      </c>
      <c r="AV196" s="14">
        <v>3318</v>
      </c>
      <c r="AW196" s="74"/>
      <c r="AX196" s="1"/>
      <c r="AY196" s="17" t="s">
        <v>101</v>
      </c>
    </row>
    <row r="197" spans="1:51" ht="12.75" customHeight="1" x14ac:dyDescent="0.25">
      <c r="A197" s="5">
        <v>196</v>
      </c>
      <c r="B197" s="9">
        <v>196</v>
      </c>
      <c r="C197" s="9" t="s">
        <v>2413</v>
      </c>
      <c r="D197" s="57" t="str">
        <f>HYPERLINK("http://prodenv.dep.state.fl.us/DepNexus/public/electronic-documents/OG_196/facility!search","OG_196_Docs")</f>
        <v>OG_196_Docs</v>
      </c>
      <c r="E197" s="57" t="str">
        <f>HYPERLINK("https://ca.dep.state.fl.us/mapdirect/?focus=oilandgas&amp;zoom=query&amp;querytype=oilandgas&amp;queryvalues=OG_196","OG_196_Map")</f>
        <v>OG_196_Map</v>
      </c>
      <c r="F197" s="1" t="s">
        <v>1797</v>
      </c>
      <c r="G197" s="1" t="s">
        <v>79</v>
      </c>
      <c r="H197" s="1" t="s">
        <v>1904</v>
      </c>
      <c r="I197" s="1" t="s">
        <v>2414</v>
      </c>
      <c r="J197" s="17" t="s">
        <v>82</v>
      </c>
      <c r="K197" s="17" t="s">
        <v>83</v>
      </c>
      <c r="L197" s="17"/>
      <c r="M197" s="17" t="s">
        <v>101</v>
      </c>
      <c r="N197" s="52" t="s">
        <v>130</v>
      </c>
      <c r="O197" s="17" t="s">
        <v>86</v>
      </c>
      <c r="P197" s="17" t="s">
        <v>86</v>
      </c>
      <c r="Q197" s="81" t="s">
        <v>2415</v>
      </c>
      <c r="R197" s="11">
        <v>30.607021</v>
      </c>
      <c r="S197" s="11">
        <v>-86.948804999999993</v>
      </c>
      <c r="T197" s="11" t="s">
        <v>2416</v>
      </c>
      <c r="U197" s="11" t="s">
        <v>2417</v>
      </c>
      <c r="V197" s="17" t="s">
        <v>352</v>
      </c>
      <c r="W197" s="17" t="s">
        <v>110</v>
      </c>
      <c r="X197" s="70">
        <v>139</v>
      </c>
      <c r="Y197" s="70">
        <v>128</v>
      </c>
      <c r="Z197" s="13">
        <v>19883</v>
      </c>
      <c r="AA197" s="13">
        <v>19896</v>
      </c>
      <c r="AB197" s="13">
        <v>19913</v>
      </c>
      <c r="AC197" s="13">
        <v>19913</v>
      </c>
      <c r="AD197" s="86">
        <v>7001</v>
      </c>
      <c r="AE197" s="86">
        <v>7001</v>
      </c>
      <c r="AF197" s="70" t="s">
        <v>94</v>
      </c>
      <c r="AG197" s="17" t="s">
        <v>2418</v>
      </c>
      <c r="AH197" s="17" t="s">
        <v>94</v>
      </c>
      <c r="AI197" s="70" t="s">
        <v>94</v>
      </c>
      <c r="AJ197" s="17" t="s">
        <v>94</v>
      </c>
      <c r="AK197" s="17" t="s">
        <v>95</v>
      </c>
      <c r="AL197" s="17" t="s">
        <v>86</v>
      </c>
      <c r="AM197" s="17" t="s">
        <v>94</v>
      </c>
      <c r="AN197" s="17" t="s">
        <v>94</v>
      </c>
      <c r="AO197" s="17" t="s">
        <v>98</v>
      </c>
      <c r="AP197" s="17" t="s">
        <v>98</v>
      </c>
      <c r="AQ197" s="17" t="s">
        <v>98</v>
      </c>
      <c r="AR197" s="17" t="s">
        <v>94</v>
      </c>
      <c r="AS197" s="17" t="s">
        <v>2419</v>
      </c>
      <c r="AT197" s="17">
        <v>152</v>
      </c>
      <c r="AU197" s="30" t="s">
        <v>2420</v>
      </c>
      <c r="AV197" s="14">
        <v>3330</v>
      </c>
      <c r="AW197" s="74"/>
      <c r="AX197" s="1"/>
      <c r="AY197" s="17" t="s">
        <v>101</v>
      </c>
    </row>
    <row r="198" spans="1:51" ht="12.75" customHeight="1" x14ac:dyDescent="0.25">
      <c r="A198" s="5">
        <v>197</v>
      </c>
      <c r="B198" s="9">
        <v>197</v>
      </c>
      <c r="C198" s="9" t="s">
        <v>2421</v>
      </c>
      <c r="D198" s="57" t="str">
        <f>HYPERLINK("http://prodenv.dep.state.fl.us/DepNexus/public/electronic-documents/OG_197/facility!search","OG_197_Docs")</f>
        <v>OG_197_Docs</v>
      </c>
      <c r="E198" s="57" t="str">
        <f>HYPERLINK("https://ca.dep.state.fl.us/mapdirect/?focus=oilandgas&amp;zoom=query&amp;querytype=oilandgas&amp;queryvalues=OG_197","OG_197_Map")</f>
        <v>OG_197_Map</v>
      </c>
      <c r="F198" s="1" t="s">
        <v>1797</v>
      </c>
      <c r="G198" s="1" t="s">
        <v>79</v>
      </c>
      <c r="H198" s="1" t="s">
        <v>1778</v>
      </c>
      <c r="I198" s="1" t="s">
        <v>2422</v>
      </c>
      <c r="J198" s="17" t="s">
        <v>82</v>
      </c>
      <c r="K198" s="17" t="s">
        <v>83</v>
      </c>
      <c r="L198" s="17"/>
      <c r="M198" s="17"/>
      <c r="N198" s="52" t="s">
        <v>130</v>
      </c>
      <c r="O198" s="17" t="s">
        <v>1962</v>
      </c>
      <c r="P198" s="17" t="s">
        <v>86</v>
      </c>
      <c r="Q198" s="81" t="s">
        <v>2423</v>
      </c>
      <c r="R198" s="11">
        <v>30.941379000000001</v>
      </c>
      <c r="S198" s="11">
        <v>-86.884598999999994</v>
      </c>
      <c r="T198" s="11" t="s">
        <v>2424</v>
      </c>
      <c r="U198" s="11" t="s">
        <v>2425</v>
      </c>
      <c r="V198" s="17" t="s">
        <v>2426</v>
      </c>
      <c r="W198" s="17" t="s">
        <v>110</v>
      </c>
      <c r="X198" s="70">
        <v>237</v>
      </c>
      <c r="Y198" s="70">
        <v>225</v>
      </c>
      <c r="Z198" s="13">
        <v>19883</v>
      </c>
      <c r="AA198" s="13">
        <v>19908</v>
      </c>
      <c r="AB198" s="13">
        <v>19917</v>
      </c>
      <c r="AC198" s="13">
        <v>19918</v>
      </c>
      <c r="AD198" s="86">
        <v>6475</v>
      </c>
      <c r="AE198" s="86">
        <v>6475</v>
      </c>
      <c r="AF198" s="70" t="s">
        <v>94</v>
      </c>
      <c r="AG198" s="17" t="s">
        <v>2427</v>
      </c>
      <c r="AH198" s="17" t="s">
        <v>94</v>
      </c>
      <c r="AI198" s="70" t="s">
        <v>94</v>
      </c>
      <c r="AJ198" s="17" t="s">
        <v>94</v>
      </c>
      <c r="AK198" s="17" t="s">
        <v>95</v>
      </c>
      <c r="AL198" s="17" t="s">
        <v>86</v>
      </c>
      <c r="AM198" s="17" t="s">
        <v>94</v>
      </c>
      <c r="AN198" s="17" t="s">
        <v>94</v>
      </c>
      <c r="AO198" s="17" t="s">
        <v>98</v>
      </c>
      <c r="AP198" s="17" t="s">
        <v>98</v>
      </c>
      <c r="AQ198" s="17" t="s">
        <v>98</v>
      </c>
      <c r="AR198" s="17" t="s">
        <v>94</v>
      </c>
      <c r="AS198" s="17" t="s">
        <v>2428</v>
      </c>
      <c r="AT198" s="17"/>
      <c r="AU198" s="30" t="s">
        <v>2429</v>
      </c>
      <c r="AV198" s="14">
        <v>3317</v>
      </c>
      <c r="AW198" s="74"/>
      <c r="AX198" s="1"/>
      <c r="AY198" s="17" t="s">
        <v>101</v>
      </c>
    </row>
    <row r="199" spans="1:51" ht="12.75" customHeight="1" x14ac:dyDescent="0.25">
      <c r="A199" s="5">
        <v>198</v>
      </c>
      <c r="B199" s="9">
        <v>198</v>
      </c>
      <c r="C199" s="9" t="s">
        <v>2430</v>
      </c>
      <c r="D199" s="57" t="str">
        <f>HYPERLINK("http://prodenv.dep.state.fl.us/DepNexus/public/electronic-documents/OG_198/facility!search","OG_198_Docs")</f>
        <v>OG_198_Docs</v>
      </c>
      <c r="E199" s="57" t="str">
        <f>HYPERLINK("https://ca.dep.state.fl.us/mapdirect/?focus=oilandgas&amp;zoom=query&amp;querytype=oilandgas&amp;queryvalues=OG_198","OG_198_Map")</f>
        <v>OG_198_Map</v>
      </c>
      <c r="F199" s="1" t="s">
        <v>1797</v>
      </c>
      <c r="G199" s="1" t="s">
        <v>79</v>
      </c>
      <c r="H199" s="1" t="s">
        <v>229</v>
      </c>
      <c r="I199" s="1" t="s">
        <v>2431</v>
      </c>
      <c r="J199" s="17" t="s">
        <v>82</v>
      </c>
      <c r="K199" s="17" t="s">
        <v>83</v>
      </c>
      <c r="L199" s="17"/>
      <c r="M199" s="17"/>
      <c r="N199" s="52" t="s">
        <v>130</v>
      </c>
      <c r="O199" s="17" t="s">
        <v>86</v>
      </c>
      <c r="P199" s="17" t="s">
        <v>86</v>
      </c>
      <c r="Q199" s="81" t="s">
        <v>2432</v>
      </c>
      <c r="R199" s="11">
        <v>30.949233</v>
      </c>
      <c r="S199" s="11">
        <v>-87.086256000000006</v>
      </c>
      <c r="T199" s="11" t="s">
        <v>2433</v>
      </c>
      <c r="U199" s="11" t="s">
        <v>2434</v>
      </c>
      <c r="V199" s="17" t="s">
        <v>2435</v>
      </c>
      <c r="W199" s="17" t="s">
        <v>110</v>
      </c>
      <c r="X199" s="70">
        <v>234</v>
      </c>
      <c r="Y199" s="70">
        <v>222</v>
      </c>
      <c r="Z199" s="13">
        <v>19904</v>
      </c>
      <c r="AA199" s="13">
        <v>19918</v>
      </c>
      <c r="AB199" s="13">
        <v>19934</v>
      </c>
      <c r="AC199" s="13">
        <v>19934</v>
      </c>
      <c r="AD199" s="86">
        <v>6380</v>
      </c>
      <c r="AE199" s="86">
        <v>6380</v>
      </c>
      <c r="AF199" s="70" t="s">
        <v>94</v>
      </c>
      <c r="AG199" s="17" t="s">
        <v>2436</v>
      </c>
      <c r="AH199" s="17" t="s">
        <v>94</v>
      </c>
      <c r="AI199" s="70" t="s">
        <v>94</v>
      </c>
      <c r="AJ199" s="17" t="s">
        <v>94</v>
      </c>
      <c r="AK199" s="17" t="s">
        <v>95</v>
      </c>
      <c r="AL199" s="17" t="s">
        <v>86</v>
      </c>
      <c r="AM199" s="17" t="s">
        <v>94</v>
      </c>
      <c r="AN199" s="17" t="s">
        <v>86</v>
      </c>
      <c r="AO199" s="17" t="s">
        <v>98</v>
      </c>
      <c r="AP199" s="17" t="s">
        <v>98</v>
      </c>
      <c r="AQ199" s="17" t="s">
        <v>98</v>
      </c>
      <c r="AR199" s="17" t="s">
        <v>94</v>
      </c>
      <c r="AS199" s="17" t="s">
        <v>2437</v>
      </c>
      <c r="AT199" s="17"/>
      <c r="AU199" s="30" t="s">
        <v>2438</v>
      </c>
      <c r="AV199" s="14">
        <v>3321</v>
      </c>
      <c r="AW199" s="74"/>
      <c r="AX199" s="1"/>
      <c r="AY199" s="17" t="s">
        <v>101</v>
      </c>
    </row>
    <row r="200" spans="1:51" ht="12.75" customHeight="1" x14ac:dyDescent="0.25">
      <c r="A200" s="5">
        <v>199</v>
      </c>
      <c r="B200" s="9">
        <v>199</v>
      </c>
      <c r="C200" s="9" t="s">
        <v>2439</v>
      </c>
      <c r="D200" s="57" t="str">
        <f>HYPERLINK("http://prodenv.dep.state.fl.us/DepNexus/public/electronic-documents/OG_199/facility!search","OG_199_Docs")</f>
        <v>OG_199_Docs</v>
      </c>
      <c r="E200" s="57" t="str">
        <f>HYPERLINK("https://ca.dep.state.fl.us/mapdirect/?focus=oilandgas&amp;zoom=query&amp;querytype=oilandgas&amp;queryvalues=OG_199","OG_199_Map")</f>
        <v>OG_199_Map</v>
      </c>
      <c r="F200" s="1" t="s">
        <v>241</v>
      </c>
      <c r="G200" s="1" t="s">
        <v>79</v>
      </c>
      <c r="H200" s="1" t="s">
        <v>2440</v>
      </c>
      <c r="I200" s="1" t="s">
        <v>1475</v>
      </c>
      <c r="J200" s="17" t="s">
        <v>82</v>
      </c>
      <c r="K200" s="17" t="s">
        <v>83</v>
      </c>
      <c r="L200" s="17"/>
      <c r="M200" s="17" t="s">
        <v>84</v>
      </c>
      <c r="N200" s="52" t="s">
        <v>2441</v>
      </c>
      <c r="O200" s="17" t="s">
        <v>86</v>
      </c>
      <c r="P200" s="17" t="s">
        <v>86</v>
      </c>
      <c r="Q200" s="81" t="s">
        <v>2442</v>
      </c>
      <c r="R200" s="11">
        <v>29.306808</v>
      </c>
      <c r="S200" s="11">
        <v>-82.746331999999995</v>
      </c>
      <c r="T200" s="11" t="s">
        <v>2443</v>
      </c>
      <c r="U200" s="11" t="s">
        <v>2444</v>
      </c>
      <c r="V200" s="17" t="s">
        <v>2445</v>
      </c>
      <c r="W200" s="17" t="s">
        <v>110</v>
      </c>
      <c r="X200" s="70">
        <v>26</v>
      </c>
      <c r="Y200" s="70"/>
      <c r="Z200" s="13">
        <v>19918</v>
      </c>
      <c r="AA200" s="13">
        <v>19935</v>
      </c>
      <c r="AB200" s="13">
        <v>19953</v>
      </c>
      <c r="AC200" s="13">
        <v>19953</v>
      </c>
      <c r="AD200" s="86">
        <v>3857</v>
      </c>
      <c r="AE200" s="86">
        <v>3857</v>
      </c>
      <c r="AF200" s="70" t="s">
        <v>2446</v>
      </c>
      <c r="AG200" s="17" t="s">
        <v>2447</v>
      </c>
      <c r="AH200" s="17" t="s">
        <v>2448</v>
      </c>
      <c r="AI200" s="70" t="s">
        <v>94</v>
      </c>
      <c r="AJ200" s="17" t="s">
        <v>94</v>
      </c>
      <c r="AK200" s="17" t="s">
        <v>95</v>
      </c>
      <c r="AL200" s="17" t="s">
        <v>95</v>
      </c>
      <c r="AM200" s="17" t="s">
        <v>94</v>
      </c>
      <c r="AN200" s="17" t="s">
        <v>86</v>
      </c>
      <c r="AO200" s="17" t="s">
        <v>98</v>
      </c>
      <c r="AP200" s="17" t="s">
        <v>98</v>
      </c>
      <c r="AQ200" s="17" t="s">
        <v>98</v>
      </c>
      <c r="AR200" s="17" t="s">
        <v>94</v>
      </c>
      <c r="AS200" s="17" t="s">
        <v>2449</v>
      </c>
      <c r="AT200" s="17">
        <v>118</v>
      </c>
      <c r="AU200" s="30" t="s">
        <v>2450</v>
      </c>
      <c r="AV200" s="14">
        <v>3342</v>
      </c>
      <c r="AW200" s="74"/>
      <c r="AX200" s="1" t="s">
        <v>2451</v>
      </c>
      <c r="AY200" s="17" t="s">
        <v>101</v>
      </c>
    </row>
    <row r="201" spans="1:51" ht="12.75" customHeight="1" x14ac:dyDescent="0.25">
      <c r="A201" s="5">
        <v>200</v>
      </c>
      <c r="B201" s="9">
        <v>200</v>
      </c>
      <c r="C201" s="9" t="s">
        <v>2452</v>
      </c>
      <c r="D201" s="57" t="str">
        <f>HYPERLINK("http://prodenv.dep.state.fl.us/DepNexus/public/electronic-documents/OG_200/facility!search","OG_200_Docs")</f>
        <v>OG_200_Docs</v>
      </c>
      <c r="E201" s="57" t="str">
        <f>HYPERLINK("https://ca.dep.state.fl.us/mapdirect/?focus=oilandgas&amp;zoom=query&amp;querytype=oilandgas&amp;queryvalues=OG_200","OG_200_Map")</f>
        <v>OG_200_Map</v>
      </c>
      <c r="F201" s="1" t="s">
        <v>1797</v>
      </c>
      <c r="G201" s="1" t="s">
        <v>79</v>
      </c>
      <c r="H201" s="1" t="s">
        <v>1778</v>
      </c>
      <c r="I201" s="1" t="s">
        <v>2453</v>
      </c>
      <c r="J201" s="17" t="s">
        <v>82</v>
      </c>
      <c r="K201" s="17" t="s">
        <v>83</v>
      </c>
      <c r="L201" s="17"/>
      <c r="M201" s="17"/>
      <c r="N201" s="52" t="s">
        <v>130</v>
      </c>
      <c r="O201" s="17" t="s">
        <v>1962</v>
      </c>
      <c r="P201" s="17" t="s">
        <v>86</v>
      </c>
      <c r="Q201" s="81" t="s">
        <v>2454</v>
      </c>
      <c r="R201" s="11">
        <v>30.756492999999999</v>
      </c>
      <c r="S201" s="11">
        <v>-86.817640999999995</v>
      </c>
      <c r="T201" s="11" t="s">
        <v>2455</v>
      </c>
      <c r="U201" s="11" t="s">
        <v>2456</v>
      </c>
      <c r="V201" s="17" t="s">
        <v>2457</v>
      </c>
      <c r="W201" s="17" t="s">
        <v>110</v>
      </c>
      <c r="X201" s="70">
        <v>145</v>
      </c>
      <c r="Y201" s="70">
        <v>133</v>
      </c>
      <c r="Z201" s="13">
        <v>19918</v>
      </c>
      <c r="AA201" s="13">
        <v>19949</v>
      </c>
      <c r="AB201" s="13">
        <v>19958</v>
      </c>
      <c r="AC201" s="13">
        <v>19958</v>
      </c>
      <c r="AD201" s="86">
        <v>6630</v>
      </c>
      <c r="AE201" s="86">
        <v>6630</v>
      </c>
      <c r="AF201" s="70" t="s">
        <v>94</v>
      </c>
      <c r="AG201" s="17" t="s">
        <v>2458</v>
      </c>
      <c r="AH201" s="17" t="s">
        <v>94</v>
      </c>
      <c r="AI201" s="70" t="s">
        <v>94</v>
      </c>
      <c r="AJ201" s="17" t="s">
        <v>94</v>
      </c>
      <c r="AK201" s="17" t="s">
        <v>95</v>
      </c>
      <c r="AL201" s="17" t="s">
        <v>94</v>
      </c>
      <c r="AM201" s="17" t="s">
        <v>94</v>
      </c>
      <c r="AN201" s="17" t="s">
        <v>94</v>
      </c>
      <c r="AO201" s="17" t="s">
        <v>98</v>
      </c>
      <c r="AP201" s="17" t="s">
        <v>98</v>
      </c>
      <c r="AQ201" s="17" t="s">
        <v>98</v>
      </c>
      <c r="AR201" s="17" t="s">
        <v>94</v>
      </c>
      <c r="AS201" s="17" t="s">
        <v>2459</v>
      </c>
      <c r="AT201" s="17"/>
      <c r="AU201" s="30" t="s">
        <v>2460</v>
      </c>
      <c r="AV201" s="14">
        <v>3363</v>
      </c>
      <c r="AW201" s="74"/>
      <c r="AX201" s="1"/>
      <c r="AY201" s="17" t="s">
        <v>101</v>
      </c>
    </row>
    <row r="202" spans="1:51" ht="12.75" customHeight="1" x14ac:dyDescent="0.25">
      <c r="A202" s="5">
        <v>201</v>
      </c>
      <c r="B202" s="9">
        <v>201</v>
      </c>
      <c r="C202" s="9" t="s">
        <v>2461</v>
      </c>
      <c r="D202" s="57" t="str">
        <f>HYPERLINK("http://prodenv.dep.state.fl.us/DepNexus/public/electronic-documents/OG_201/facility!search","OG_201_Docs")</f>
        <v>OG_201_Docs</v>
      </c>
      <c r="E202" s="57" t="str">
        <f>HYPERLINK("https://ca.dep.state.fl.us/mapdirect/?focus=oilandgas&amp;zoom=query&amp;querytype=oilandgas&amp;queryvalues=OG_201","OG_201_Map")</f>
        <v>OG_201_Map</v>
      </c>
      <c r="F202" s="1" t="s">
        <v>841</v>
      </c>
      <c r="G202" s="1" t="s">
        <v>79</v>
      </c>
      <c r="H202" s="1" t="s">
        <v>1970</v>
      </c>
      <c r="I202" s="1" t="s">
        <v>402</v>
      </c>
      <c r="J202" s="17" t="s">
        <v>82</v>
      </c>
      <c r="K202" s="17" t="s">
        <v>83</v>
      </c>
      <c r="L202" s="17"/>
      <c r="M202" s="17"/>
      <c r="N202" s="52" t="s">
        <v>130</v>
      </c>
      <c r="O202" s="17" t="s">
        <v>86</v>
      </c>
      <c r="P202" s="17" t="s">
        <v>86</v>
      </c>
      <c r="Q202" s="81" t="s">
        <v>2462</v>
      </c>
      <c r="R202" s="11">
        <v>30.778694000000002</v>
      </c>
      <c r="S202" s="11">
        <v>-85.648663999999997</v>
      </c>
      <c r="T202" s="11" t="s">
        <v>2463</v>
      </c>
      <c r="U202" s="11" t="s">
        <v>2464</v>
      </c>
      <c r="V202" s="17" t="s">
        <v>2465</v>
      </c>
      <c r="W202" s="17" t="s">
        <v>110</v>
      </c>
      <c r="X202" s="70">
        <v>83</v>
      </c>
      <c r="Y202" s="70">
        <v>78.400000000000006</v>
      </c>
      <c r="Z202" s="13">
        <v>19918</v>
      </c>
      <c r="AA202" s="13">
        <v>19944</v>
      </c>
      <c r="AB202" s="13">
        <v>19960</v>
      </c>
      <c r="AC202" s="13">
        <v>19984</v>
      </c>
      <c r="AD202" s="86">
        <v>4801</v>
      </c>
      <c r="AE202" s="86">
        <v>4801</v>
      </c>
      <c r="AF202" s="70" t="s">
        <v>94</v>
      </c>
      <c r="AG202" s="17" t="s">
        <v>2466</v>
      </c>
      <c r="AH202" s="17" t="s">
        <v>2467</v>
      </c>
      <c r="AI202" s="70" t="s">
        <v>94</v>
      </c>
      <c r="AJ202" s="17" t="s">
        <v>94</v>
      </c>
      <c r="AK202" s="17" t="s">
        <v>95</v>
      </c>
      <c r="AL202" s="17" t="s">
        <v>94</v>
      </c>
      <c r="AM202" s="17" t="s">
        <v>94</v>
      </c>
      <c r="AN202" s="17" t="s">
        <v>94</v>
      </c>
      <c r="AO202" s="17" t="s">
        <v>98</v>
      </c>
      <c r="AP202" s="17" t="s">
        <v>98</v>
      </c>
      <c r="AQ202" s="17" t="s">
        <v>98</v>
      </c>
      <c r="AR202" s="17" t="s">
        <v>94</v>
      </c>
      <c r="AS202" s="17" t="s">
        <v>2468</v>
      </c>
      <c r="AT202" s="17"/>
      <c r="AU202" s="30" t="s">
        <v>2469</v>
      </c>
      <c r="AV202" s="14">
        <v>3362</v>
      </c>
      <c r="AW202" s="74"/>
      <c r="AX202" s="1"/>
      <c r="AY202" s="17" t="s">
        <v>101</v>
      </c>
    </row>
    <row r="203" spans="1:51" ht="12.75" customHeight="1" x14ac:dyDescent="0.25">
      <c r="A203" s="5">
        <v>202</v>
      </c>
      <c r="B203" s="9">
        <v>202</v>
      </c>
      <c r="C203" s="9" t="s">
        <v>2470</v>
      </c>
      <c r="D203" s="57" t="str">
        <f>HYPERLINK("http://prodenv.dep.state.fl.us/DepNexus/public/electronic-documents/OG_202/facility!search","OG_202_Docs")</f>
        <v>OG_202_Docs</v>
      </c>
      <c r="E203" s="57" t="str">
        <f>HYPERLINK("https://ca.dep.state.fl.us/mapdirect/?focus=oilandgas&amp;zoom=query&amp;querytype=oilandgas&amp;queryvalues=OG_202","OG_202_Map")</f>
        <v>OG_202_Map</v>
      </c>
      <c r="F203" s="1" t="s">
        <v>1797</v>
      </c>
      <c r="G203" s="1" t="s">
        <v>79</v>
      </c>
      <c r="H203" s="1" t="s">
        <v>1904</v>
      </c>
      <c r="I203" s="1" t="s">
        <v>2471</v>
      </c>
      <c r="J203" s="17" t="s">
        <v>82</v>
      </c>
      <c r="K203" s="17" t="s">
        <v>83</v>
      </c>
      <c r="L203" s="17"/>
      <c r="M203" s="17" t="s">
        <v>101</v>
      </c>
      <c r="N203" s="52" t="s">
        <v>2472</v>
      </c>
      <c r="O203" s="17" t="s">
        <v>86</v>
      </c>
      <c r="P203" s="17" t="s">
        <v>86</v>
      </c>
      <c r="Q203" s="81" t="s">
        <v>2473</v>
      </c>
      <c r="R203" s="11">
        <v>30.604175000000001</v>
      </c>
      <c r="S203" s="11">
        <v>-86.990260000000006</v>
      </c>
      <c r="T203" s="11" t="s">
        <v>2474</v>
      </c>
      <c r="U203" s="11" t="s">
        <v>2475</v>
      </c>
      <c r="V203" s="17" t="s">
        <v>2476</v>
      </c>
      <c r="W203" s="17" t="s">
        <v>110</v>
      </c>
      <c r="X203" s="70">
        <v>34.82</v>
      </c>
      <c r="Y203" s="70">
        <v>23.82</v>
      </c>
      <c r="Z203" s="13">
        <v>19918</v>
      </c>
      <c r="AA203" s="13">
        <v>19918</v>
      </c>
      <c r="AB203" s="13">
        <v>19936</v>
      </c>
      <c r="AC203" s="13">
        <v>19936</v>
      </c>
      <c r="AD203" s="86">
        <v>6948</v>
      </c>
      <c r="AE203" s="86">
        <v>6948</v>
      </c>
      <c r="AF203" s="70" t="s">
        <v>94</v>
      </c>
      <c r="AG203" s="17" t="s">
        <v>2477</v>
      </c>
      <c r="AH203" s="17" t="s">
        <v>94</v>
      </c>
      <c r="AI203" s="70" t="s">
        <v>94</v>
      </c>
      <c r="AJ203" s="17" t="s">
        <v>94</v>
      </c>
      <c r="AK203" s="17" t="s">
        <v>95</v>
      </c>
      <c r="AL203" s="17" t="s">
        <v>94</v>
      </c>
      <c r="AM203" s="17" t="s">
        <v>94</v>
      </c>
      <c r="AN203" s="17" t="s">
        <v>94</v>
      </c>
      <c r="AO203" s="17" t="s">
        <v>98</v>
      </c>
      <c r="AP203" s="17" t="s">
        <v>98</v>
      </c>
      <c r="AQ203" s="17" t="s">
        <v>98</v>
      </c>
      <c r="AR203" s="17" t="s">
        <v>94</v>
      </c>
      <c r="AS203" s="17" t="s">
        <v>2478</v>
      </c>
      <c r="AT203" s="17">
        <v>150</v>
      </c>
      <c r="AU203" s="30" t="s">
        <v>2479</v>
      </c>
      <c r="AV203" s="14">
        <v>3367</v>
      </c>
      <c r="AW203" s="74"/>
      <c r="AX203" s="1"/>
      <c r="AY203" s="17" t="s">
        <v>101</v>
      </c>
    </row>
    <row r="204" spans="1:51" ht="12.75" customHeight="1" x14ac:dyDescent="0.25">
      <c r="A204" s="5">
        <v>203</v>
      </c>
      <c r="B204" s="9">
        <v>203</v>
      </c>
      <c r="C204" s="9" t="s">
        <v>2480</v>
      </c>
      <c r="D204" s="57" t="str">
        <f>HYPERLINK("http://prodenv.dep.state.fl.us/DepNexus/public/electronic-documents/OG_203/facility!search","OG_203_Docs")</f>
        <v>OG_203_Docs</v>
      </c>
      <c r="E204" s="57" t="str">
        <f>HYPERLINK("https://ca.dep.state.fl.us/mapdirect/?focus=oilandgas&amp;zoom=query&amp;querytype=oilandgas&amp;queryvalues=OG_203","OG_203_Map")</f>
        <v>OG_203_Map</v>
      </c>
      <c r="F204" s="1" t="s">
        <v>314</v>
      </c>
      <c r="G204" s="1" t="s">
        <v>79</v>
      </c>
      <c r="H204" s="1" t="s">
        <v>1778</v>
      </c>
      <c r="I204" s="1" t="s">
        <v>2481</v>
      </c>
      <c r="J204" s="17" t="s">
        <v>82</v>
      </c>
      <c r="K204" s="17" t="s">
        <v>83</v>
      </c>
      <c r="L204" s="17"/>
      <c r="M204" s="17" t="s">
        <v>101</v>
      </c>
      <c r="N204" s="52" t="s">
        <v>130</v>
      </c>
      <c r="O204" s="17" t="s">
        <v>86</v>
      </c>
      <c r="P204" s="17" t="s">
        <v>86</v>
      </c>
      <c r="Q204" s="81" t="s">
        <v>2482</v>
      </c>
      <c r="R204" s="11">
        <v>30.878332</v>
      </c>
      <c r="S204" s="11">
        <v>-86.055409999999995</v>
      </c>
      <c r="T204" s="11" t="s">
        <v>2483</v>
      </c>
      <c r="U204" s="11" t="s">
        <v>2484</v>
      </c>
      <c r="V204" s="17" t="s">
        <v>835</v>
      </c>
      <c r="W204" s="17" t="s">
        <v>110</v>
      </c>
      <c r="X204" s="70">
        <v>302</v>
      </c>
      <c r="Y204" s="70"/>
      <c r="Z204" s="13">
        <v>19925</v>
      </c>
      <c r="AA204" s="13">
        <v>19929</v>
      </c>
      <c r="AB204" s="13">
        <v>19934</v>
      </c>
      <c r="AC204" s="13">
        <v>19934</v>
      </c>
      <c r="AD204" s="86">
        <v>4632</v>
      </c>
      <c r="AE204" s="86">
        <v>4632</v>
      </c>
      <c r="AF204" s="70" t="s">
        <v>2446</v>
      </c>
      <c r="AG204" s="17" t="s">
        <v>2485</v>
      </c>
      <c r="AH204" s="17" t="s">
        <v>94</v>
      </c>
      <c r="AI204" s="70" t="s">
        <v>94</v>
      </c>
      <c r="AJ204" s="17" t="s">
        <v>94</v>
      </c>
      <c r="AK204" s="17" t="s">
        <v>95</v>
      </c>
      <c r="AL204" s="17" t="s">
        <v>94</v>
      </c>
      <c r="AM204" s="17" t="s">
        <v>94</v>
      </c>
      <c r="AN204" s="17" t="s">
        <v>94</v>
      </c>
      <c r="AO204" s="17" t="s">
        <v>98</v>
      </c>
      <c r="AP204" s="17" t="s">
        <v>98</v>
      </c>
      <c r="AQ204" s="17" t="s">
        <v>98</v>
      </c>
      <c r="AR204" s="17" t="s">
        <v>94</v>
      </c>
      <c r="AS204" s="17" t="s">
        <v>2486</v>
      </c>
      <c r="AT204" s="17">
        <v>130</v>
      </c>
      <c r="AU204" s="30" t="s">
        <v>2487</v>
      </c>
      <c r="AV204" s="14">
        <v>3343</v>
      </c>
      <c r="AW204" s="74"/>
      <c r="AX204" s="1"/>
      <c r="AY204" s="17" t="s">
        <v>101</v>
      </c>
    </row>
    <row r="205" spans="1:51" ht="12.75" customHeight="1" x14ac:dyDescent="0.25">
      <c r="A205" s="5">
        <v>204</v>
      </c>
      <c r="B205" s="9">
        <v>204</v>
      </c>
      <c r="C205" s="9" t="s">
        <v>2488</v>
      </c>
      <c r="D205" s="57" t="str">
        <f>HYPERLINK("http://prodenv.dep.state.fl.us/DepNexus/public/electronic-documents/OG_204/facility!search","OG_204_Docs")</f>
        <v>OG_204_Docs</v>
      </c>
      <c r="E205" s="57" t="str">
        <f>HYPERLINK("https://ca.dep.state.fl.us/mapdirect/?focus=oilandgas&amp;zoom=query&amp;querytype=oilandgas&amp;queryvalues=OG_204","OG_204_Map")</f>
        <v>OG_204_Map</v>
      </c>
      <c r="F205" s="1" t="s">
        <v>1682</v>
      </c>
      <c r="G205" s="1" t="s">
        <v>79</v>
      </c>
      <c r="H205" s="1" t="s">
        <v>1904</v>
      </c>
      <c r="I205" s="1" t="s">
        <v>2489</v>
      </c>
      <c r="J205" s="17" t="s">
        <v>82</v>
      </c>
      <c r="K205" s="17" t="s">
        <v>83</v>
      </c>
      <c r="L205" s="17"/>
      <c r="M205" s="17" t="s">
        <v>101</v>
      </c>
      <c r="N205" s="52" t="s">
        <v>130</v>
      </c>
      <c r="O205" s="17" t="s">
        <v>86</v>
      </c>
      <c r="P205" s="17" t="s">
        <v>86</v>
      </c>
      <c r="Q205" s="81" t="s">
        <v>2490</v>
      </c>
      <c r="R205" s="11">
        <v>30.372935999999999</v>
      </c>
      <c r="S205" s="11">
        <v>-87.354113999999996</v>
      </c>
      <c r="T205" s="11" t="s">
        <v>2491</v>
      </c>
      <c r="U205" s="11" t="s">
        <v>2492</v>
      </c>
      <c r="V205" s="17" t="s">
        <v>2493</v>
      </c>
      <c r="W205" s="17" t="s">
        <v>110</v>
      </c>
      <c r="X205" s="70"/>
      <c r="Y205" s="70">
        <v>23</v>
      </c>
      <c r="Z205" s="13">
        <v>19932</v>
      </c>
      <c r="AA205" s="13">
        <v>19940</v>
      </c>
      <c r="AB205" s="13">
        <v>19962</v>
      </c>
      <c r="AC205" s="13">
        <v>19962</v>
      </c>
      <c r="AD205" s="86">
        <v>7620</v>
      </c>
      <c r="AE205" s="86">
        <v>7620</v>
      </c>
      <c r="AF205" s="70" t="s">
        <v>94</v>
      </c>
      <c r="AG205" s="17" t="s">
        <v>2494</v>
      </c>
      <c r="AH205" s="17" t="s">
        <v>94</v>
      </c>
      <c r="AI205" s="70" t="s">
        <v>94</v>
      </c>
      <c r="AJ205" s="17" t="s">
        <v>94</v>
      </c>
      <c r="AK205" s="17" t="s">
        <v>95</v>
      </c>
      <c r="AL205" s="17" t="s">
        <v>94</v>
      </c>
      <c r="AM205" s="17" t="s">
        <v>94</v>
      </c>
      <c r="AN205" s="17" t="s">
        <v>94</v>
      </c>
      <c r="AO205" s="17" t="s">
        <v>98</v>
      </c>
      <c r="AP205" s="17" t="s">
        <v>98</v>
      </c>
      <c r="AQ205" s="17" t="s">
        <v>98</v>
      </c>
      <c r="AR205" s="17" t="s">
        <v>94</v>
      </c>
      <c r="AS205" s="17" t="s">
        <v>2495</v>
      </c>
      <c r="AT205" s="17">
        <v>155</v>
      </c>
      <c r="AU205" s="30" t="s">
        <v>2496</v>
      </c>
      <c r="AV205" s="14">
        <v>3364</v>
      </c>
      <c r="AW205" s="74"/>
      <c r="AX205" s="1"/>
      <c r="AY205" s="17" t="s">
        <v>101</v>
      </c>
    </row>
    <row r="206" spans="1:51" ht="12.75" customHeight="1" x14ac:dyDescent="0.25">
      <c r="A206" s="5">
        <v>205</v>
      </c>
      <c r="B206" s="9">
        <v>205</v>
      </c>
      <c r="C206" s="9" t="s">
        <v>2497</v>
      </c>
      <c r="D206" s="57" t="str">
        <f>HYPERLINK("http://prodenv.dep.state.fl.us/DepNexus/public/electronic-documents/OG_205/facility!search","OG_205_Docs")</f>
        <v>OG_205_Docs</v>
      </c>
      <c r="E206" s="57" t="str">
        <f>HYPERLINK("https://ca.dep.state.fl.us/mapdirect/?focus=oilandgas&amp;zoom=query&amp;querytype=oilandgas&amp;queryvalues=OG_205","OG_205_Map")</f>
        <v>OG_205_Map</v>
      </c>
      <c r="F206" s="1" t="s">
        <v>204</v>
      </c>
      <c r="G206" s="1" t="s">
        <v>2103</v>
      </c>
      <c r="H206" s="1" t="s">
        <v>229</v>
      </c>
      <c r="I206" s="1" t="s">
        <v>2498</v>
      </c>
      <c r="J206" s="17" t="s">
        <v>82</v>
      </c>
      <c r="K206" s="17" t="s">
        <v>83</v>
      </c>
      <c r="L206" s="17" t="s">
        <v>101</v>
      </c>
      <c r="M206" s="17" t="s">
        <v>84</v>
      </c>
      <c r="N206" s="52" t="s">
        <v>2472</v>
      </c>
      <c r="O206" s="17" t="s">
        <v>86</v>
      </c>
      <c r="P206" s="17" t="s">
        <v>86</v>
      </c>
      <c r="Q206" s="81" t="s">
        <v>2499</v>
      </c>
      <c r="R206" s="11">
        <v>25.757753000000001</v>
      </c>
      <c r="S206" s="11">
        <v>-80.772328999999999</v>
      </c>
      <c r="T206" s="11" t="s">
        <v>2500</v>
      </c>
      <c r="U206" s="11" t="s">
        <v>2501</v>
      </c>
      <c r="V206" s="17" t="s">
        <v>2502</v>
      </c>
      <c r="W206" s="17" t="s">
        <v>110</v>
      </c>
      <c r="X206" s="70">
        <v>18</v>
      </c>
      <c r="Y206" s="70">
        <v>7</v>
      </c>
      <c r="Z206" s="13">
        <v>19946</v>
      </c>
      <c r="AA206" s="13">
        <v>19952</v>
      </c>
      <c r="AB206" s="13">
        <v>20016</v>
      </c>
      <c r="AC206" s="13">
        <v>20016</v>
      </c>
      <c r="AD206" s="86">
        <v>11597</v>
      </c>
      <c r="AE206" s="86">
        <v>11597</v>
      </c>
      <c r="AF206" s="70" t="s">
        <v>2272</v>
      </c>
      <c r="AG206" s="17" t="s">
        <v>2503</v>
      </c>
      <c r="AH206" s="17" t="s">
        <v>2504</v>
      </c>
      <c r="AI206" s="70" t="s">
        <v>94</v>
      </c>
      <c r="AJ206" s="17" t="s">
        <v>94</v>
      </c>
      <c r="AK206" s="17" t="s">
        <v>95</v>
      </c>
      <c r="AL206" s="17" t="s">
        <v>2505</v>
      </c>
      <c r="AM206" s="17" t="s">
        <v>94</v>
      </c>
      <c r="AN206" s="17" t="s">
        <v>2506</v>
      </c>
      <c r="AO206" s="17" t="s">
        <v>2507</v>
      </c>
      <c r="AP206" s="17" t="s">
        <v>94</v>
      </c>
      <c r="AQ206" s="17" t="s">
        <v>2508</v>
      </c>
      <c r="AR206" s="17" t="s">
        <v>94</v>
      </c>
      <c r="AS206" s="17" t="s">
        <v>2509</v>
      </c>
      <c r="AT206" s="17">
        <v>220</v>
      </c>
      <c r="AU206" s="30" t="s">
        <v>2510</v>
      </c>
      <c r="AV206" s="14">
        <v>3373</v>
      </c>
      <c r="AW206" s="74"/>
      <c r="AX206" s="1"/>
      <c r="AY206" s="17" t="s">
        <v>101</v>
      </c>
    </row>
    <row r="207" spans="1:51" ht="12.75" customHeight="1" x14ac:dyDescent="0.25">
      <c r="A207" s="5">
        <v>206</v>
      </c>
      <c r="B207" s="9">
        <v>206</v>
      </c>
      <c r="C207" s="9" t="s">
        <v>2511</v>
      </c>
      <c r="D207" s="57" t="str">
        <f>HYPERLINK("http://prodenv.dep.state.fl.us/DepNexus/public/electronic-documents/OG_206/facility!search","OG_206_Docs")</f>
        <v>OG_206_Docs</v>
      </c>
      <c r="E207" s="57" t="str">
        <f>HYPERLINK("https://ca.dep.state.fl.us/mapdirect/?focus=oilandgas&amp;zoom=query&amp;querytype=oilandgas&amp;queryvalues=OG_206","OG_206_Map")</f>
        <v>OG_206_Map</v>
      </c>
      <c r="F207" s="1" t="s">
        <v>314</v>
      </c>
      <c r="G207" s="1" t="s">
        <v>79</v>
      </c>
      <c r="H207" s="1" t="s">
        <v>2386</v>
      </c>
      <c r="I207" s="1" t="s">
        <v>2512</v>
      </c>
      <c r="J207" s="17" t="s">
        <v>82</v>
      </c>
      <c r="K207" s="17" t="s">
        <v>83</v>
      </c>
      <c r="L207" s="17"/>
      <c r="M207" s="17" t="s">
        <v>101</v>
      </c>
      <c r="N207" s="52" t="s">
        <v>130</v>
      </c>
      <c r="O207" s="17" t="s">
        <v>86</v>
      </c>
      <c r="P207" s="17" t="s">
        <v>86</v>
      </c>
      <c r="Q207" s="81" t="s">
        <v>2513</v>
      </c>
      <c r="R207" s="11">
        <v>30.417725000000001</v>
      </c>
      <c r="S207" s="11">
        <v>-86.314485000000005</v>
      </c>
      <c r="T207" s="11" t="s">
        <v>2514</v>
      </c>
      <c r="U207" s="11" t="s">
        <v>2515</v>
      </c>
      <c r="V207" s="17" t="s">
        <v>1117</v>
      </c>
      <c r="W207" s="17" t="s">
        <v>110</v>
      </c>
      <c r="X207" s="70">
        <v>36.6</v>
      </c>
      <c r="Y207" s="70"/>
      <c r="Z207" s="13">
        <v>19953</v>
      </c>
      <c r="AA207" s="13">
        <v>19938</v>
      </c>
      <c r="AB207" s="13">
        <v>19946</v>
      </c>
      <c r="AC207" s="13">
        <v>19946</v>
      </c>
      <c r="AD207" s="86">
        <v>6010</v>
      </c>
      <c r="AE207" s="86">
        <v>6010</v>
      </c>
      <c r="AF207" s="70" t="s">
        <v>2516</v>
      </c>
      <c r="AG207" s="17" t="s">
        <v>94</v>
      </c>
      <c r="AH207" s="17" t="s">
        <v>94</v>
      </c>
      <c r="AI207" s="70" t="s">
        <v>94</v>
      </c>
      <c r="AJ207" s="17" t="s">
        <v>94</v>
      </c>
      <c r="AK207" s="17" t="s">
        <v>95</v>
      </c>
      <c r="AL207" s="17" t="s">
        <v>94</v>
      </c>
      <c r="AM207" s="17" t="s">
        <v>94</v>
      </c>
      <c r="AN207" s="17" t="s">
        <v>94</v>
      </c>
      <c r="AO207" s="17" t="s">
        <v>98</v>
      </c>
      <c r="AP207" s="17" t="s">
        <v>98</v>
      </c>
      <c r="AQ207" s="17" t="s">
        <v>98</v>
      </c>
      <c r="AR207" s="17" t="s">
        <v>94</v>
      </c>
      <c r="AS207" s="17" t="s">
        <v>2517</v>
      </c>
      <c r="AT207" s="17">
        <v>140</v>
      </c>
      <c r="AU207" s="30" t="s">
        <v>2518</v>
      </c>
      <c r="AV207" s="14">
        <v>3365</v>
      </c>
      <c r="AW207" s="74"/>
      <c r="AX207" s="1"/>
      <c r="AY207" s="17" t="s">
        <v>101</v>
      </c>
    </row>
    <row r="208" spans="1:51" ht="12.75" customHeight="1" x14ac:dyDescent="0.25">
      <c r="A208" s="5">
        <v>207</v>
      </c>
      <c r="B208" s="9">
        <v>207</v>
      </c>
      <c r="C208" s="9" t="s">
        <v>2519</v>
      </c>
      <c r="D208" s="57" t="str">
        <f>HYPERLINK("http://prodenv.dep.state.fl.us/DepNexus/public/electronic-documents/OG_207/facility!search","OG_207_Docs")</f>
        <v>OG_207_Docs</v>
      </c>
      <c r="E208" s="57" t="str">
        <f>HYPERLINK("https://ca.dep.state.fl.us/mapdirect/?focus=oilandgas&amp;zoom=query&amp;querytype=oilandgas&amp;queryvalues=OG_207","OG_207_Map")</f>
        <v>OG_207_Map</v>
      </c>
      <c r="F208" s="1" t="s">
        <v>1752</v>
      </c>
      <c r="G208" s="1" t="s">
        <v>79</v>
      </c>
      <c r="H208" s="1" t="s">
        <v>176</v>
      </c>
      <c r="I208" s="1" t="s">
        <v>2520</v>
      </c>
      <c r="J208" s="17" t="s">
        <v>82</v>
      </c>
      <c r="K208" s="17" t="s">
        <v>83</v>
      </c>
      <c r="L208" s="17"/>
      <c r="M208" s="17"/>
      <c r="N208" s="52" t="s">
        <v>2521</v>
      </c>
      <c r="O208" s="17" t="s">
        <v>86</v>
      </c>
      <c r="P208" s="17" t="s">
        <v>86</v>
      </c>
      <c r="Q208" s="81" t="s">
        <v>2522</v>
      </c>
      <c r="R208" s="11">
        <v>26.590617000000002</v>
      </c>
      <c r="S208" s="11">
        <v>-81.439324999999997</v>
      </c>
      <c r="T208" s="11" t="s">
        <v>2523</v>
      </c>
      <c r="U208" s="11" t="s">
        <v>2524</v>
      </c>
      <c r="V208" s="17" t="s">
        <v>2525</v>
      </c>
      <c r="W208" s="17" t="s">
        <v>110</v>
      </c>
      <c r="X208" s="70">
        <v>40</v>
      </c>
      <c r="Y208" s="70"/>
      <c r="Z208" s="13">
        <v>19960</v>
      </c>
      <c r="AA208" s="13">
        <v>19967</v>
      </c>
      <c r="AB208" s="13">
        <v>20099</v>
      </c>
      <c r="AC208" s="13">
        <v>20099</v>
      </c>
      <c r="AD208" s="86">
        <v>11595</v>
      </c>
      <c r="AE208" s="86">
        <v>11595</v>
      </c>
      <c r="AF208" s="70" t="s">
        <v>2526</v>
      </c>
      <c r="AG208" s="17" t="s">
        <v>2527</v>
      </c>
      <c r="AH208" s="17" t="s">
        <v>2528</v>
      </c>
      <c r="AI208" s="70" t="s">
        <v>94</v>
      </c>
      <c r="AJ208" s="17" t="s">
        <v>94</v>
      </c>
      <c r="AK208" s="17" t="s">
        <v>95</v>
      </c>
      <c r="AL208" s="17" t="s">
        <v>2529</v>
      </c>
      <c r="AM208" s="17" t="s">
        <v>94</v>
      </c>
      <c r="AN208" s="17" t="s">
        <v>2530</v>
      </c>
      <c r="AO208" s="17" t="s">
        <v>98</v>
      </c>
      <c r="AP208" s="17" t="s">
        <v>98</v>
      </c>
      <c r="AQ208" s="17" t="s">
        <v>98</v>
      </c>
      <c r="AR208" s="17" t="s">
        <v>94</v>
      </c>
      <c r="AS208" s="17" t="s">
        <v>2531</v>
      </c>
      <c r="AT208" s="17"/>
      <c r="AU208" s="30" t="s">
        <v>2532</v>
      </c>
      <c r="AV208" s="14">
        <v>3441</v>
      </c>
      <c r="AW208" s="74"/>
      <c r="AX208" s="1" t="s">
        <v>2533</v>
      </c>
      <c r="AY208" s="17" t="s">
        <v>101</v>
      </c>
    </row>
    <row r="209" spans="1:51" ht="12.75" customHeight="1" x14ac:dyDescent="0.25">
      <c r="A209" s="5">
        <v>208</v>
      </c>
      <c r="B209" s="9">
        <v>208</v>
      </c>
      <c r="C209" s="9" t="s">
        <v>2534</v>
      </c>
      <c r="D209" s="57" t="str">
        <f>HYPERLINK("http://prodenv.dep.state.fl.us/DepNexus/public/electronic-documents/OG_208/facility!search","OG_208_Docs")</f>
        <v>OG_208_Docs</v>
      </c>
      <c r="E209" s="57" t="str">
        <f>HYPERLINK("https://ca.dep.state.fl.us/mapdirect/?focus=oilandgas&amp;zoom=query&amp;querytype=oilandgas&amp;queryvalues=OG_208","OG_208_Map")</f>
        <v>OG_208_Map</v>
      </c>
      <c r="F209" s="1" t="s">
        <v>2026</v>
      </c>
      <c r="G209" s="1" t="s">
        <v>79</v>
      </c>
      <c r="H209" s="1" t="s">
        <v>1778</v>
      </c>
      <c r="I209" s="1" t="s">
        <v>2535</v>
      </c>
      <c r="J209" s="17" t="s">
        <v>82</v>
      </c>
      <c r="K209" s="17" t="s">
        <v>83</v>
      </c>
      <c r="L209" s="17"/>
      <c r="M209" s="17" t="s">
        <v>101</v>
      </c>
      <c r="N209" s="52" t="s">
        <v>130</v>
      </c>
      <c r="O209" s="17" t="s">
        <v>86</v>
      </c>
      <c r="P209" s="17" t="s">
        <v>86</v>
      </c>
      <c r="Q209" s="81" t="s">
        <v>2536</v>
      </c>
      <c r="R209" s="11">
        <v>26.566461</v>
      </c>
      <c r="S209" s="11">
        <v>-81.870844000000005</v>
      </c>
      <c r="T209" s="11" t="s">
        <v>2537</v>
      </c>
      <c r="U209" s="11" t="s">
        <v>2538</v>
      </c>
      <c r="V209" s="17" t="s">
        <v>2539</v>
      </c>
      <c r="W209" s="17" t="s">
        <v>110</v>
      </c>
      <c r="X209" s="70">
        <v>21</v>
      </c>
      <c r="Y209" s="70">
        <v>10.9</v>
      </c>
      <c r="Z209" s="13">
        <v>19960</v>
      </c>
      <c r="AA209" s="13">
        <v>19957</v>
      </c>
      <c r="AB209" s="13">
        <v>19976</v>
      </c>
      <c r="AC209" s="13">
        <v>19976</v>
      </c>
      <c r="AD209" s="86">
        <v>5612</v>
      </c>
      <c r="AE209" s="86">
        <v>5612</v>
      </c>
      <c r="AF209" s="70" t="s">
        <v>2540</v>
      </c>
      <c r="AG209" s="17" t="s">
        <v>2541</v>
      </c>
      <c r="AH209" s="17" t="s">
        <v>94</v>
      </c>
      <c r="AI209" s="70" t="s">
        <v>94</v>
      </c>
      <c r="AJ209" s="17" t="s">
        <v>94</v>
      </c>
      <c r="AK209" s="17" t="s">
        <v>95</v>
      </c>
      <c r="AL209" s="17" t="s">
        <v>2542</v>
      </c>
      <c r="AM209" s="17" t="s">
        <v>94</v>
      </c>
      <c r="AN209" s="17" t="s">
        <v>94</v>
      </c>
      <c r="AO209" s="17" t="s">
        <v>98</v>
      </c>
      <c r="AP209" s="17" t="s">
        <v>98</v>
      </c>
      <c r="AQ209" s="17" t="s">
        <v>98</v>
      </c>
      <c r="AR209" s="17" t="s">
        <v>94</v>
      </c>
      <c r="AS209" s="17" t="s">
        <v>2543</v>
      </c>
      <c r="AT209" s="17"/>
      <c r="AU209" s="30" t="s">
        <v>2544</v>
      </c>
      <c r="AV209" s="14">
        <v>3368</v>
      </c>
      <c r="AW209" s="74"/>
      <c r="AX209" s="1"/>
      <c r="AY209" s="17" t="s">
        <v>101</v>
      </c>
    </row>
    <row r="210" spans="1:51" ht="12.75" customHeight="1" x14ac:dyDescent="0.25">
      <c r="A210" s="5">
        <v>209</v>
      </c>
      <c r="B210" s="9">
        <v>209</v>
      </c>
      <c r="C210" s="9" t="s">
        <v>2545</v>
      </c>
      <c r="D210" s="57" t="str">
        <f>HYPERLINK("http://prodenv.dep.state.fl.us/DepNexus/public/electronic-documents/OG_209/facility!search","OG_209_Docs")</f>
        <v>OG_209_Docs</v>
      </c>
      <c r="E210" s="57" t="str">
        <f>HYPERLINK("https://ca.dep.state.fl.us/mapdirect/?focus=oilandgas&amp;zoom=query&amp;querytype=oilandgas&amp;queryvalues=OG_209","OG_209_Map")</f>
        <v>OG_209_Map</v>
      </c>
      <c r="F210" s="1" t="s">
        <v>204</v>
      </c>
      <c r="G210" s="1" t="s">
        <v>2103</v>
      </c>
      <c r="H210" s="1" t="s">
        <v>229</v>
      </c>
      <c r="I210" s="1" t="s">
        <v>2546</v>
      </c>
      <c r="J210" s="17" t="s">
        <v>207</v>
      </c>
      <c r="K210" s="17" t="s">
        <v>208</v>
      </c>
      <c r="L210" s="17"/>
      <c r="M210" s="17" t="s">
        <v>207</v>
      </c>
      <c r="N210" s="52" t="s">
        <v>86</v>
      </c>
      <c r="O210" s="17" t="s">
        <v>86</v>
      </c>
      <c r="P210" s="17" t="s">
        <v>2547</v>
      </c>
      <c r="Q210" s="81" t="s">
        <v>2548</v>
      </c>
      <c r="R210" s="11">
        <v>25.763536999999999</v>
      </c>
      <c r="S210" s="11">
        <v>-80.784270000000006</v>
      </c>
      <c r="T210" s="11" t="s">
        <v>2549</v>
      </c>
      <c r="U210" s="11" t="s">
        <v>2550</v>
      </c>
      <c r="V210" s="17" t="s">
        <v>2551</v>
      </c>
      <c r="W210" s="17" t="s">
        <v>110</v>
      </c>
      <c r="X210" s="70"/>
      <c r="Y210" s="70"/>
      <c r="Z210" s="13">
        <v>19960</v>
      </c>
      <c r="AA210" s="13"/>
      <c r="AB210" s="13"/>
      <c r="AC210" s="13"/>
      <c r="AD210" s="86"/>
      <c r="AE210" s="70"/>
      <c r="AF210" s="70" t="s">
        <v>207</v>
      </c>
      <c r="AG210" s="14" t="s">
        <v>207</v>
      </c>
      <c r="AH210" s="14" t="s">
        <v>207</v>
      </c>
      <c r="AI210" s="70" t="s">
        <v>207</v>
      </c>
      <c r="AJ210" s="14" t="s">
        <v>207</v>
      </c>
      <c r="AK210" s="14" t="s">
        <v>207</v>
      </c>
      <c r="AL210" s="14" t="s">
        <v>207</v>
      </c>
      <c r="AM210" s="14" t="s">
        <v>207</v>
      </c>
      <c r="AN210" s="14" t="s">
        <v>207</v>
      </c>
      <c r="AO210" s="14" t="s">
        <v>207</v>
      </c>
      <c r="AP210" s="14" t="s">
        <v>207</v>
      </c>
      <c r="AQ210" s="14" t="s">
        <v>207</v>
      </c>
      <c r="AR210" s="14" t="s">
        <v>207</v>
      </c>
      <c r="AS210" s="14" t="s">
        <v>207</v>
      </c>
      <c r="AT210" s="17"/>
      <c r="AU210" s="30" t="s">
        <v>2552</v>
      </c>
      <c r="AV210" s="14" t="s">
        <v>207</v>
      </c>
      <c r="AW210" s="74"/>
      <c r="AX210" s="1"/>
      <c r="AY210" s="17" t="s">
        <v>101</v>
      </c>
    </row>
    <row r="211" spans="1:51" ht="12.75" customHeight="1" x14ac:dyDescent="0.25">
      <c r="A211" s="5">
        <v>210</v>
      </c>
      <c r="B211" s="9">
        <v>210</v>
      </c>
      <c r="C211" s="9" t="s">
        <v>2553</v>
      </c>
      <c r="D211" s="57" t="str">
        <f>HYPERLINK("http://prodenv.dep.state.fl.us/DepNexus/public/electronic-documents/OG_210/facility!search","OG_210_Docs")</f>
        <v>OG_210_Docs</v>
      </c>
      <c r="E211" s="57" t="str">
        <f>HYPERLINK("https://ca.dep.state.fl.us/mapdirect/?focus=oilandgas&amp;zoom=query&amp;querytype=oilandgas&amp;queryvalues=OG_210","OG_210_Map")</f>
        <v>OG_210_Map</v>
      </c>
      <c r="F211" s="1" t="s">
        <v>290</v>
      </c>
      <c r="G211" s="1" t="s">
        <v>79</v>
      </c>
      <c r="H211" s="1" t="s">
        <v>1740</v>
      </c>
      <c r="I211" s="1" t="s">
        <v>2554</v>
      </c>
      <c r="J211" s="17" t="s">
        <v>207</v>
      </c>
      <c r="K211" s="17" t="s">
        <v>208</v>
      </c>
      <c r="L211" s="17"/>
      <c r="M211" s="17" t="s">
        <v>207</v>
      </c>
      <c r="N211" s="52" t="s">
        <v>86</v>
      </c>
      <c r="O211" s="17" t="s">
        <v>292</v>
      </c>
      <c r="P211" s="17" t="s">
        <v>2547</v>
      </c>
      <c r="Q211" s="81" t="s">
        <v>2555</v>
      </c>
      <c r="R211" s="11">
        <v>25.227049000000001</v>
      </c>
      <c r="S211" s="11">
        <v>-80.396461000000002</v>
      </c>
      <c r="T211" s="11" t="s">
        <v>2556</v>
      </c>
      <c r="U211" s="11" t="s">
        <v>2557</v>
      </c>
      <c r="V211" s="17" t="s">
        <v>233</v>
      </c>
      <c r="W211" s="17" t="s">
        <v>110</v>
      </c>
      <c r="X211" s="70"/>
      <c r="Y211" s="70"/>
      <c r="Z211" s="13">
        <v>19981</v>
      </c>
      <c r="AA211" s="13"/>
      <c r="AB211" s="13"/>
      <c r="AC211" s="13"/>
      <c r="AD211" s="86"/>
      <c r="AE211" s="70"/>
      <c r="AF211" s="70" t="s">
        <v>207</v>
      </c>
      <c r="AG211" s="14" t="s">
        <v>207</v>
      </c>
      <c r="AH211" s="14" t="s">
        <v>207</v>
      </c>
      <c r="AI211" s="70" t="s">
        <v>207</v>
      </c>
      <c r="AJ211" s="14" t="s">
        <v>207</v>
      </c>
      <c r="AK211" s="14" t="s">
        <v>207</v>
      </c>
      <c r="AL211" s="14" t="s">
        <v>207</v>
      </c>
      <c r="AM211" s="14" t="s">
        <v>207</v>
      </c>
      <c r="AN211" s="14" t="s">
        <v>207</v>
      </c>
      <c r="AO211" s="14" t="s">
        <v>207</v>
      </c>
      <c r="AP211" s="14" t="s">
        <v>207</v>
      </c>
      <c r="AQ211" s="14" t="s">
        <v>207</v>
      </c>
      <c r="AR211" s="14" t="s">
        <v>207</v>
      </c>
      <c r="AS211" s="14" t="s">
        <v>207</v>
      </c>
      <c r="AT211" s="17"/>
      <c r="AU211" s="30" t="s">
        <v>2558</v>
      </c>
      <c r="AV211" s="14" t="s">
        <v>207</v>
      </c>
      <c r="AW211" s="74"/>
      <c r="AX211" s="1"/>
      <c r="AY211" s="17" t="s">
        <v>101</v>
      </c>
    </row>
    <row r="212" spans="1:51" ht="12.75" customHeight="1" x14ac:dyDescent="0.25">
      <c r="A212" s="5">
        <v>211</v>
      </c>
      <c r="B212" s="9">
        <v>211</v>
      </c>
      <c r="C212" s="9" t="s">
        <v>2559</v>
      </c>
      <c r="D212" s="57" t="str">
        <f>HYPERLINK("http://prodenv.dep.state.fl.us/DepNexus/public/electronic-documents/OG_211/facility!search","OG_211_Docs")</f>
        <v>OG_211_Docs</v>
      </c>
      <c r="E212" s="57" t="str">
        <f>HYPERLINK("https://ca.dep.state.fl.us/mapdirect/?focus=oilandgas&amp;zoom=query&amp;querytype=oilandgas&amp;queryvalues=OG_211","OG_211_Map")</f>
        <v>OG_211_Map</v>
      </c>
      <c r="F212" s="1" t="s">
        <v>2222</v>
      </c>
      <c r="G212" s="1" t="s">
        <v>79</v>
      </c>
      <c r="H212" s="1" t="s">
        <v>229</v>
      </c>
      <c r="I212" s="1" t="s">
        <v>2560</v>
      </c>
      <c r="J212" s="17" t="s">
        <v>207</v>
      </c>
      <c r="K212" s="17" t="s">
        <v>208</v>
      </c>
      <c r="L212" s="17"/>
      <c r="M212" s="17" t="s">
        <v>207</v>
      </c>
      <c r="N212" s="52" t="s">
        <v>86</v>
      </c>
      <c r="O212" s="17" t="s">
        <v>86</v>
      </c>
      <c r="P212" s="17" t="s">
        <v>86</v>
      </c>
      <c r="Q212" s="81" t="s">
        <v>2561</v>
      </c>
      <c r="R212" s="11">
        <v>26.792801000000001</v>
      </c>
      <c r="S212" s="11">
        <v>-81.640786000000006</v>
      </c>
      <c r="T212" s="11" t="s">
        <v>2562</v>
      </c>
      <c r="U212" s="11" t="s">
        <v>2563</v>
      </c>
      <c r="V212" s="17" t="s">
        <v>2564</v>
      </c>
      <c r="W212" s="17" t="s">
        <v>110</v>
      </c>
      <c r="X212" s="70"/>
      <c r="Y212" s="70"/>
      <c r="Z212" s="13">
        <v>19988</v>
      </c>
      <c r="AA212" s="13"/>
      <c r="AB212" s="13"/>
      <c r="AC212" s="13"/>
      <c r="AD212" s="86"/>
      <c r="AE212" s="70"/>
      <c r="AF212" s="70" t="s">
        <v>207</v>
      </c>
      <c r="AG212" s="14" t="s">
        <v>207</v>
      </c>
      <c r="AH212" s="14" t="s">
        <v>207</v>
      </c>
      <c r="AI212" s="70" t="s">
        <v>207</v>
      </c>
      <c r="AJ212" s="14" t="s">
        <v>207</v>
      </c>
      <c r="AK212" s="14" t="s">
        <v>207</v>
      </c>
      <c r="AL212" s="14" t="s">
        <v>207</v>
      </c>
      <c r="AM212" s="14" t="s">
        <v>207</v>
      </c>
      <c r="AN212" s="14" t="s">
        <v>207</v>
      </c>
      <c r="AO212" s="14" t="s">
        <v>207</v>
      </c>
      <c r="AP212" s="14" t="s">
        <v>207</v>
      </c>
      <c r="AQ212" s="14" t="s">
        <v>207</v>
      </c>
      <c r="AR212" s="14" t="s">
        <v>207</v>
      </c>
      <c r="AS212" s="14" t="s">
        <v>207</v>
      </c>
      <c r="AT212" s="17"/>
      <c r="AU212" s="30" t="s">
        <v>2565</v>
      </c>
      <c r="AV212" s="14" t="s">
        <v>207</v>
      </c>
      <c r="AW212" s="74"/>
      <c r="AX212" s="1"/>
      <c r="AY212" s="17" t="s">
        <v>101</v>
      </c>
    </row>
    <row r="213" spans="1:51" ht="12.75" customHeight="1" x14ac:dyDescent="0.25">
      <c r="A213" s="5">
        <v>212</v>
      </c>
      <c r="B213" s="9">
        <v>212</v>
      </c>
      <c r="C213" s="9" t="s">
        <v>2566</v>
      </c>
      <c r="D213" s="57" t="str">
        <f>HYPERLINK("http://prodenv.dep.state.fl.us/DepNexus/public/electronic-documents/OG_212/facility!search","OG_212_Docs")</f>
        <v>OG_212_Docs</v>
      </c>
      <c r="E213" s="57" t="str">
        <f>HYPERLINK("https://ca.dep.state.fl.us/mapdirect/?focus=oilandgas&amp;zoom=query&amp;querytype=oilandgas&amp;queryvalues=OG_212","OG_212_Map")</f>
        <v>OG_212_Map</v>
      </c>
      <c r="F213" s="1" t="s">
        <v>1797</v>
      </c>
      <c r="G213" s="1" t="s">
        <v>79</v>
      </c>
      <c r="H213" s="1" t="s">
        <v>1623</v>
      </c>
      <c r="I213" s="1" t="s">
        <v>2567</v>
      </c>
      <c r="J213" s="17" t="s">
        <v>82</v>
      </c>
      <c r="K213" s="17" t="s">
        <v>83</v>
      </c>
      <c r="L213" s="17"/>
      <c r="M213" s="17"/>
      <c r="N213" s="52" t="s">
        <v>130</v>
      </c>
      <c r="O213" s="17" t="s">
        <v>86</v>
      </c>
      <c r="P213" s="17" t="s">
        <v>86</v>
      </c>
      <c r="Q213" s="81" t="s">
        <v>2568</v>
      </c>
      <c r="R213" s="11">
        <v>30.888656999999998</v>
      </c>
      <c r="S213" s="11">
        <v>-87.100385000000003</v>
      </c>
      <c r="T213" s="11" t="s">
        <v>2569</v>
      </c>
      <c r="U213" s="11" t="s">
        <v>2570</v>
      </c>
      <c r="V213" s="17" t="s">
        <v>2571</v>
      </c>
      <c r="W213" s="17" t="s">
        <v>110</v>
      </c>
      <c r="X213" s="70">
        <v>154.5</v>
      </c>
      <c r="Y213" s="70">
        <v>143.5</v>
      </c>
      <c r="Z213" s="13">
        <v>20002</v>
      </c>
      <c r="AA213" s="13"/>
      <c r="AB213" s="13">
        <v>20032</v>
      </c>
      <c r="AC213" s="13">
        <v>20035</v>
      </c>
      <c r="AD213" s="86">
        <v>7020</v>
      </c>
      <c r="AE213" s="70">
        <v>7020</v>
      </c>
      <c r="AF213" s="70" t="s">
        <v>94</v>
      </c>
      <c r="AG213" s="14" t="s">
        <v>2572</v>
      </c>
      <c r="AH213" s="14" t="s">
        <v>94</v>
      </c>
      <c r="AI213" s="70" t="s">
        <v>94</v>
      </c>
      <c r="AJ213" s="14" t="s">
        <v>94</v>
      </c>
      <c r="AK213" s="14" t="s">
        <v>95</v>
      </c>
      <c r="AL213" s="14" t="s">
        <v>86</v>
      </c>
      <c r="AM213" s="14" t="s">
        <v>94</v>
      </c>
      <c r="AN213" s="14" t="s">
        <v>94</v>
      </c>
      <c r="AO213" s="14" t="s">
        <v>98</v>
      </c>
      <c r="AP213" s="14" t="s">
        <v>98</v>
      </c>
      <c r="AQ213" s="14" t="s">
        <v>98</v>
      </c>
      <c r="AR213" s="14" t="s">
        <v>94</v>
      </c>
      <c r="AS213" s="14" t="s">
        <v>2573</v>
      </c>
      <c r="AT213" s="17"/>
      <c r="AU213" s="30" t="s">
        <v>2574</v>
      </c>
      <c r="AV213" s="14">
        <v>3390</v>
      </c>
      <c r="AW213" s="74"/>
      <c r="AX213" s="1"/>
      <c r="AY213" s="17" t="s">
        <v>101</v>
      </c>
    </row>
    <row r="214" spans="1:51" ht="12.75" customHeight="1" x14ac:dyDescent="0.25">
      <c r="A214" s="5">
        <v>213</v>
      </c>
      <c r="B214" s="9">
        <v>213</v>
      </c>
      <c r="C214" s="9" t="s">
        <v>2575</v>
      </c>
      <c r="D214" s="57" t="str">
        <f>HYPERLINK("http://prodenv.dep.state.fl.us/DepNexus/public/electronic-documents/OG_213/facility!search","OG_213_Docs")</f>
        <v>OG_213_Docs</v>
      </c>
      <c r="E214" s="57" t="str">
        <f>HYPERLINK("https://ca.dep.state.fl.us/mapdirect/?focus=oilandgas&amp;zoom=query&amp;querytype=oilandgas&amp;queryvalues=OG_213","OG_213_Map")</f>
        <v>OG_213_Map</v>
      </c>
      <c r="F214" s="1" t="s">
        <v>2576</v>
      </c>
      <c r="G214" s="1" t="s">
        <v>79</v>
      </c>
      <c r="H214" s="1" t="s">
        <v>2577</v>
      </c>
      <c r="I214" s="1" t="s">
        <v>2578</v>
      </c>
      <c r="J214" s="17" t="s">
        <v>82</v>
      </c>
      <c r="K214" s="17" t="s">
        <v>83</v>
      </c>
      <c r="L214" s="17"/>
      <c r="M214" s="17"/>
      <c r="N214" s="52" t="s">
        <v>86</v>
      </c>
      <c r="O214" s="17" t="s">
        <v>86</v>
      </c>
      <c r="P214" s="17" t="s">
        <v>86</v>
      </c>
      <c r="Q214" s="81" t="s">
        <v>2579</v>
      </c>
      <c r="R214" s="11">
        <v>28.03501</v>
      </c>
      <c r="S214" s="11">
        <v>-81.823398999999995</v>
      </c>
      <c r="T214" s="11" t="s">
        <v>2580</v>
      </c>
      <c r="U214" s="11" t="s">
        <v>2581</v>
      </c>
      <c r="V214" s="17" t="s">
        <v>2582</v>
      </c>
      <c r="W214" s="17" t="s">
        <v>110</v>
      </c>
      <c r="X214" s="70"/>
      <c r="Y214" s="70"/>
      <c r="Z214" s="13">
        <v>20002</v>
      </c>
      <c r="AA214" s="13">
        <v>20199</v>
      </c>
      <c r="AB214" s="13">
        <v>20341</v>
      </c>
      <c r="AC214" s="13">
        <v>20341</v>
      </c>
      <c r="AD214" s="86">
        <v>970</v>
      </c>
      <c r="AE214" s="86">
        <v>970</v>
      </c>
      <c r="AF214" s="70" t="s">
        <v>2583</v>
      </c>
      <c r="AG214" s="17" t="s">
        <v>2584</v>
      </c>
      <c r="AH214" s="17" t="s">
        <v>94</v>
      </c>
      <c r="AI214" s="70" t="s">
        <v>94</v>
      </c>
      <c r="AJ214" s="17" t="s">
        <v>94</v>
      </c>
      <c r="AK214" s="17" t="s">
        <v>95</v>
      </c>
      <c r="AL214" s="17" t="s">
        <v>86</v>
      </c>
      <c r="AM214" s="17" t="s">
        <v>94</v>
      </c>
      <c r="AN214" s="17" t="s">
        <v>94</v>
      </c>
      <c r="AO214" s="17" t="s">
        <v>98</v>
      </c>
      <c r="AP214" s="17" t="s">
        <v>98</v>
      </c>
      <c r="AQ214" s="17" t="s">
        <v>98</v>
      </c>
      <c r="AR214" s="17" t="s">
        <v>94</v>
      </c>
      <c r="AS214" s="17" t="s">
        <v>2585</v>
      </c>
      <c r="AT214" s="17"/>
      <c r="AU214" s="30" t="s">
        <v>2586</v>
      </c>
      <c r="AV214" s="14">
        <v>3633</v>
      </c>
      <c r="AW214" s="74"/>
      <c r="AX214" s="1"/>
      <c r="AY214" s="17" t="s">
        <v>101</v>
      </c>
    </row>
    <row r="215" spans="1:51" ht="12.75" customHeight="1" x14ac:dyDescent="0.25">
      <c r="A215" s="5">
        <v>214</v>
      </c>
      <c r="B215" s="9">
        <v>214</v>
      </c>
      <c r="C215" s="9" t="s">
        <v>2587</v>
      </c>
      <c r="D215" s="57" t="str">
        <f>HYPERLINK("http://prodenv.dep.state.fl.us/DepNexus/public/electronic-documents/OG_214/facility!search","OG_214_Docs")</f>
        <v>OG_214_Docs</v>
      </c>
      <c r="E215" s="57" t="str">
        <f>HYPERLINK("https://ca.dep.state.fl.us/mapdirect/?focus=oilandgas&amp;zoom=query&amp;querytype=oilandgas&amp;queryvalues=OG_214","OG_214_Map")</f>
        <v>OG_214_Map</v>
      </c>
      <c r="F215" s="1" t="s">
        <v>204</v>
      </c>
      <c r="G215" s="1" t="s">
        <v>2103</v>
      </c>
      <c r="H215" s="1" t="s">
        <v>229</v>
      </c>
      <c r="I215" s="1" t="s">
        <v>2588</v>
      </c>
      <c r="J215" s="17" t="s">
        <v>82</v>
      </c>
      <c r="K215" s="17" t="s">
        <v>83</v>
      </c>
      <c r="L215" s="17"/>
      <c r="M215" s="17" t="s">
        <v>84</v>
      </c>
      <c r="N215" s="52" t="s">
        <v>130</v>
      </c>
      <c r="O215" s="17" t="s">
        <v>86</v>
      </c>
      <c r="P215" s="17" t="s">
        <v>86</v>
      </c>
      <c r="Q215" s="81" t="s">
        <v>2499</v>
      </c>
      <c r="R215" s="11">
        <v>25.75892</v>
      </c>
      <c r="S215" s="11">
        <v>-80.776893000000001</v>
      </c>
      <c r="T215" s="11" t="s">
        <v>2589</v>
      </c>
      <c r="U215" s="11" t="s">
        <v>2590</v>
      </c>
      <c r="V215" s="17" t="s">
        <v>2591</v>
      </c>
      <c r="W215" s="17" t="s">
        <v>110</v>
      </c>
      <c r="X215" s="70">
        <v>18</v>
      </c>
      <c r="Y215" s="70">
        <v>7</v>
      </c>
      <c r="Z215" s="13">
        <v>20044</v>
      </c>
      <c r="AA215" s="13">
        <v>20054</v>
      </c>
      <c r="AB215" s="13">
        <v>20111</v>
      </c>
      <c r="AC215" s="13">
        <v>20112</v>
      </c>
      <c r="AD215" s="86">
        <v>11615</v>
      </c>
      <c r="AE215" s="86">
        <v>11615</v>
      </c>
      <c r="AF215" s="70" t="s">
        <v>2592</v>
      </c>
      <c r="AG215" s="17" t="s">
        <v>2593</v>
      </c>
      <c r="AH215" s="17" t="s">
        <v>2594</v>
      </c>
      <c r="AI215" s="70" t="s">
        <v>94</v>
      </c>
      <c r="AJ215" s="17" t="s">
        <v>94</v>
      </c>
      <c r="AK215" s="17" t="s">
        <v>95</v>
      </c>
      <c r="AL215" s="17" t="s">
        <v>2595</v>
      </c>
      <c r="AM215" s="17" t="s">
        <v>94</v>
      </c>
      <c r="AN215" s="17" t="s">
        <v>2596</v>
      </c>
      <c r="AO215" s="17" t="s">
        <v>2597</v>
      </c>
      <c r="AP215" s="17" t="s">
        <v>94</v>
      </c>
      <c r="AQ215" s="17" t="s">
        <v>2598</v>
      </c>
      <c r="AR215" s="17" t="s">
        <v>94</v>
      </c>
      <c r="AS215" s="17" t="s">
        <v>2599</v>
      </c>
      <c r="AT215" s="17">
        <v>220</v>
      </c>
      <c r="AU215" s="30" t="s">
        <v>2600</v>
      </c>
      <c r="AV215" s="14">
        <v>3491</v>
      </c>
      <c r="AW215" s="74"/>
      <c r="AX215" s="1"/>
      <c r="AY215" s="17" t="s">
        <v>101</v>
      </c>
    </row>
    <row r="216" spans="1:51" ht="12.75" customHeight="1" x14ac:dyDescent="0.25">
      <c r="A216" s="5">
        <v>215</v>
      </c>
      <c r="B216" s="9">
        <v>215</v>
      </c>
      <c r="C216" s="9" t="s">
        <v>2601</v>
      </c>
      <c r="D216" s="57" t="str">
        <f>HYPERLINK("http://prodenv.dep.state.fl.us/DepNexus/public/electronic-documents/OG_215/facility!search","OG_215_Docs")</f>
        <v>OG_215_Docs</v>
      </c>
      <c r="E216" s="57" t="str">
        <f>HYPERLINK("https://ca.dep.state.fl.us/mapdirect/?focus=oilandgas&amp;zoom=query&amp;querytype=oilandgas&amp;queryvalues=OG_215","OG_215_Map")</f>
        <v>OG_215_Map</v>
      </c>
      <c r="F216" s="1" t="s">
        <v>1797</v>
      </c>
      <c r="G216" s="1" t="s">
        <v>79</v>
      </c>
      <c r="H216" s="1" t="s">
        <v>229</v>
      </c>
      <c r="I216" s="1" t="s">
        <v>2602</v>
      </c>
      <c r="J216" s="17" t="s">
        <v>82</v>
      </c>
      <c r="K216" s="17" t="s">
        <v>83</v>
      </c>
      <c r="L216" s="17"/>
      <c r="M216" s="17"/>
      <c r="N216" s="52" t="s">
        <v>130</v>
      </c>
      <c r="O216" s="17" t="s">
        <v>86</v>
      </c>
      <c r="P216" s="17" t="s">
        <v>86</v>
      </c>
      <c r="Q216" s="81" t="s">
        <v>2603</v>
      </c>
      <c r="R216" s="11">
        <v>30.962786000000001</v>
      </c>
      <c r="S216" s="11">
        <v>-87.153086999999999</v>
      </c>
      <c r="T216" s="11" t="s">
        <v>2604</v>
      </c>
      <c r="U216" s="11" t="s">
        <v>2605</v>
      </c>
      <c r="V216" s="17" t="s">
        <v>2606</v>
      </c>
      <c r="W216" s="17" t="s">
        <v>110</v>
      </c>
      <c r="X216" s="70">
        <v>236.6</v>
      </c>
      <c r="Y216" s="70">
        <v>229.4</v>
      </c>
      <c r="Z216" s="13">
        <v>20058</v>
      </c>
      <c r="AA216" s="13">
        <v>20068</v>
      </c>
      <c r="AB216" s="13">
        <v>20085</v>
      </c>
      <c r="AC216" s="13">
        <v>20086</v>
      </c>
      <c r="AD216" s="86">
        <v>6615</v>
      </c>
      <c r="AE216" s="86">
        <v>6615</v>
      </c>
      <c r="AF216" s="70" t="s">
        <v>94</v>
      </c>
      <c r="AG216" s="17" t="s">
        <v>2607</v>
      </c>
      <c r="AH216" s="17" t="s">
        <v>94</v>
      </c>
      <c r="AI216" s="70" t="s">
        <v>94</v>
      </c>
      <c r="AJ216" s="17" t="s">
        <v>94</v>
      </c>
      <c r="AK216" s="17" t="s">
        <v>95</v>
      </c>
      <c r="AL216" s="17" t="s">
        <v>94</v>
      </c>
      <c r="AM216" s="17" t="s">
        <v>94</v>
      </c>
      <c r="AN216" s="17" t="s">
        <v>94</v>
      </c>
      <c r="AO216" s="17" t="s">
        <v>98</v>
      </c>
      <c r="AP216" s="17" t="s">
        <v>98</v>
      </c>
      <c r="AQ216" s="17" t="s">
        <v>98</v>
      </c>
      <c r="AR216" s="17" t="s">
        <v>94</v>
      </c>
      <c r="AS216" s="17" t="s">
        <v>2608</v>
      </c>
      <c r="AT216" s="17"/>
      <c r="AU216" s="30" t="s">
        <v>2609</v>
      </c>
      <c r="AV216" s="14">
        <v>3544</v>
      </c>
      <c r="AW216" s="74"/>
      <c r="AX216" s="1"/>
      <c r="AY216" s="17" t="s">
        <v>101</v>
      </c>
    </row>
    <row r="217" spans="1:51" ht="12.75" customHeight="1" x14ac:dyDescent="0.25">
      <c r="A217" s="5">
        <v>216</v>
      </c>
      <c r="B217" s="9">
        <v>216</v>
      </c>
      <c r="C217" s="9" t="s">
        <v>2610</v>
      </c>
      <c r="D217" s="57" t="str">
        <f>HYPERLINK("http://prodenv.dep.state.fl.us/DepNexus/public/electronic-documents/OG_216/facility!search","OG_216_Docs")</f>
        <v>OG_216_Docs</v>
      </c>
      <c r="E217" s="57" t="str">
        <f>HYPERLINK("https://ca.dep.state.fl.us/mapdirect/?focus=oilandgas&amp;zoom=query&amp;querytype=oilandgas&amp;queryvalues=OG_216","OG_216_Map")</f>
        <v>OG_216_Map</v>
      </c>
      <c r="F217" s="1" t="s">
        <v>103</v>
      </c>
      <c r="G217" s="1" t="s">
        <v>79</v>
      </c>
      <c r="H217" s="1" t="s">
        <v>1970</v>
      </c>
      <c r="I217" s="1" t="s">
        <v>105</v>
      </c>
      <c r="J217" s="17" t="s">
        <v>82</v>
      </c>
      <c r="K217" s="17" t="s">
        <v>83</v>
      </c>
      <c r="L217" s="17"/>
      <c r="M217" s="17"/>
      <c r="N217" s="52" t="s">
        <v>130</v>
      </c>
      <c r="O217" s="17" t="s">
        <v>86</v>
      </c>
      <c r="P217" s="17" t="s">
        <v>86</v>
      </c>
      <c r="Q217" s="81" t="s">
        <v>2611</v>
      </c>
      <c r="R217" s="11">
        <v>30.352201000000001</v>
      </c>
      <c r="S217" s="11">
        <v>-85.259339999999995</v>
      </c>
      <c r="T217" s="11" t="s">
        <v>2612</v>
      </c>
      <c r="U217" s="11" t="s">
        <v>2613</v>
      </c>
      <c r="V217" s="17" t="s">
        <v>2080</v>
      </c>
      <c r="W217" s="17" t="s">
        <v>110</v>
      </c>
      <c r="X217" s="70">
        <v>100</v>
      </c>
      <c r="Y217" s="70">
        <v>89.8</v>
      </c>
      <c r="Z217" s="13">
        <v>20065</v>
      </c>
      <c r="AA217" s="13">
        <v>20063</v>
      </c>
      <c r="AB217" s="13">
        <v>20079</v>
      </c>
      <c r="AC217" s="13">
        <v>20080</v>
      </c>
      <c r="AD217" s="86">
        <v>4520</v>
      </c>
      <c r="AE217" s="86">
        <v>4520</v>
      </c>
      <c r="AF217" s="70" t="s">
        <v>94</v>
      </c>
      <c r="AG217" s="17" t="s">
        <v>2614</v>
      </c>
      <c r="AH217" s="17" t="s">
        <v>2615</v>
      </c>
      <c r="AI217" s="70" t="s">
        <v>94</v>
      </c>
      <c r="AJ217" s="17" t="s">
        <v>94</v>
      </c>
      <c r="AK217" s="17" t="s">
        <v>95</v>
      </c>
      <c r="AL217" s="17" t="s">
        <v>94</v>
      </c>
      <c r="AM217" s="17" t="s">
        <v>94</v>
      </c>
      <c r="AN217" s="17" t="s">
        <v>94</v>
      </c>
      <c r="AO217" s="17" t="s">
        <v>98</v>
      </c>
      <c r="AP217" s="17" t="s">
        <v>98</v>
      </c>
      <c r="AQ217" s="17" t="s">
        <v>98</v>
      </c>
      <c r="AR217" s="17" t="s">
        <v>94</v>
      </c>
      <c r="AS217" s="17" t="s">
        <v>2616</v>
      </c>
      <c r="AT217" s="17"/>
      <c r="AU217" s="30" t="s">
        <v>2617</v>
      </c>
      <c r="AV217" s="14">
        <v>3454</v>
      </c>
      <c r="AW217" s="74"/>
      <c r="AX217" s="1"/>
      <c r="AY217" s="17" t="s">
        <v>101</v>
      </c>
    </row>
    <row r="218" spans="1:51" ht="12.75" customHeight="1" x14ac:dyDescent="0.25">
      <c r="A218" s="5">
        <v>217</v>
      </c>
      <c r="B218" s="9">
        <v>217</v>
      </c>
      <c r="C218" s="9" t="s">
        <v>2618</v>
      </c>
      <c r="D218" s="57" t="str">
        <f>HYPERLINK("http://prodenv.dep.state.fl.us/DepNexus/public/electronic-documents/OG_217/facility!search","OG_217_Docs")</f>
        <v>OG_217_Docs</v>
      </c>
      <c r="E218" s="57" t="str">
        <f>HYPERLINK("https://ca.dep.state.fl.us/mapdirect/?focus=oilandgas&amp;zoom=query&amp;querytype=oilandgas&amp;queryvalues=OG_217","OG_217_Map")</f>
        <v>OG_217_Map</v>
      </c>
      <c r="F218" s="1" t="s">
        <v>1797</v>
      </c>
      <c r="G218" s="1" t="s">
        <v>79</v>
      </c>
      <c r="H218" s="1" t="s">
        <v>2619</v>
      </c>
      <c r="I218" s="1" t="s">
        <v>2620</v>
      </c>
      <c r="J218" s="17" t="s">
        <v>82</v>
      </c>
      <c r="K218" s="17" t="s">
        <v>83</v>
      </c>
      <c r="L218" s="17"/>
      <c r="M218" s="17" t="s">
        <v>101</v>
      </c>
      <c r="N218" s="52" t="s">
        <v>130</v>
      </c>
      <c r="O218" s="17" t="s">
        <v>86</v>
      </c>
      <c r="P218" s="17" t="s">
        <v>86</v>
      </c>
      <c r="Q218" s="81" t="s">
        <v>2621</v>
      </c>
      <c r="R218" s="11">
        <v>30.699916000000002</v>
      </c>
      <c r="S218" s="11">
        <v>-86.928967999999998</v>
      </c>
      <c r="T218" s="11" t="s">
        <v>2622</v>
      </c>
      <c r="U218" s="11" t="s">
        <v>2623</v>
      </c>
      <c r="V218" s="17" t="s">
        <v>835</v>
      </c>
      <c r="W218" s="17" t="s">
        <v>110</v>
      </c>
      <c r="X218" s="70">
        <v>45</v>
      </c>
      <c r="Y218" s="70">
        <v>35</v>
      </c>
      <c r="Z218" s="13">
        <v>20072</v>
      </c>
      <c r="AA218" s="13">
        <v>20068</v>
      </c>
      <c r="AB218" s="13">
        <v>20078</v>
      </c>
      <c r="AC218" s="13">
        <v>20079</v>
      </c>
      <c r="AD218" s="86">
        <v>6800</v>
      </c>
      <c r="AE218" s="86">
        <v>6800</v>
      </c>
      <c r="AF218" s="70" t="s">
        <v>94</v>
      </c>
      <c r="AG218" s="17" t="s">
        <v>2624</v>
      </c>
      <c r="AH218" s="17" t="s">
        <v>94</v>
      </c>
      <c r="AI218" s="70" t="s">
        <v>94</v>
      </c>
      <c r="AJ218" s="17" t="s">
        <v>94</v>
      </c>
      <c r="AK218" s="17" t="s">
        <v>95</v>
      </c>
      <c r="AL218" s="17" t="s">
        <v>94</v>
      </c>
      <c r="AM218" s="17" t="s">
        <v>94</v>
      </c>
      <c r="AN218" s="17" t="s">
        <v>94</v>
      </c>
      <c r="AO218" s="17" t="s">
        <v>98</v>
      </c>
      <c r="AP218" s="17" t="s">
        <v>98</v>
      </c>
      <c r="AQ218" s="17" t="s">
        <v>98</v>
      </c>
      <c r="AR218" s="17" t="s">
        <v>94</v>
      </c>
      <c r="AS218" s="17" t="s">
        <v>2625</v>
      </c>
      <c r="AT218" s="17">
        <v>141</v>
      </c>
      <c r="AU218" s="30" t="s">
        <v>2626</v>
      </c>
      <c r="AV218" s="14">
        <v>3455</v>
      </c>
      <c r="AW218" s="74"/>
      <c r="AX218" s="1"/>
      <c r="AY218" s="17" t="s">
        <v>101</v>
      </c>
    </row>
    <row r="219" spans="1:51" ht="12.75" customHeight="1" x14ac:dyDescent="0.25">
      <c r="A219" s="5">
        <v>218</v>
      </c>
      <c r="B219" s="9">
        <v>218</v>
      </c>
      <c r="C219" s="9" t="s">
        <v>2627</v>
      </c>
      <c r="D219" s="57" t="str">
        <f>HYPERLINK("http://prodenv.dep.state.fl.us/DepNexus/public/electronic-documents/OG_218/facility!search","OG_218_Docs")</f>
        <v>OG_218_Docs</v>
      </c>
      <c r="E219" s="57" t="str">
        <f>HYPERLINK("https://ca.dep.state.fl.us/mapdirect/?focus=oilandgas&amp;zoom=query&amp;querytype=oilandgas&amp;queryvalues=OG_218","OG_218_Map")</f>
        <v>OG_218_Map</v>
      </c>
      <c r="F219" s="1" t="s">
        <v>1263</v>
      </c>
      <c r="G219" s="1" t="s">
        <v>79</v>
      </c>
      <c r="H219" s="1" t="s">
        <v>128</v>
      </c>
      <c r="I219" s="1" t="s">
        <v>2628</v>
      </c>
      <c r="J219" s="17" t="s">
        <v>82</v>
      </c>
      <c r="K219" s="17" t="s">
        <v>83</v>
      </c>
      <c r="L219" s="17"/>
      <c r="M219" s="17"/>
      <c r="N219" s="52" t="s">
        <v>130</v>
      </c>
      <c r="O219" s="17" t="s">
        <v>86</v>
      </c>
      <c r="P219" s="17" t="s">
        <v>86</v>
      </c>
      <c r="Q219" s="81" t="s">
        <v>2629</v>
      </c>
      <c r="R219" s="11">
        <v>30.892061000000002</v>
      </c>
      <c r="S219" s="11">
        <v>-85.284210000000002</v>
      </c>
      <c r="T219" s="11" t="s">
        <v>2630</v>
      </c>
      <c r="U219" s="11" t="s">
        <v>2631</v>
      </c>
      <c r="V219" s="17" t="s">
        <v>2080</v>
      </c>
      <c r="W219" s="17" t="s">
        <v>110</v>
      </c>
      <c r="X219" s="70">
        <v>118</v>
      </c>
      <c r="Y219" s="70">
        <v>109</v>
      </c>
      <c r="Z219" s="13">
        <v>20079</v>
      </c>
      <c r="AA219" s="13">
        <v>20098</v>
      </c>
      <c r="AB219" s="13">
        <v>20103</v>
      </c>
      <c r="AC219" s="13">
        <v>20104</v>
      </c>
      <c r="AD219" s="86">
        <v>3660</v>
      </c>
      <c r="AE219" s="86">
        <v>3660</v>
      </c>
      <c r="AF219" s="70" t="s">
        <v>2632</v>
      </c>
      <c r="AG219" s="17" t="s">
        <v>2633</v>
      </c>
      <c r="AH219" s="17" t="s">
        <v>94</v>
      </c>
      <c r="AI219" s="70" t="s">
        <v>94</v>
      </c>
      <c r="AJ219" s="17" t="s">
        <v>94</v>
      </c>
      <c r="AK219" s="17" t="s">
        <v>95</v>
      </c>
      <c r="AL219" s="17" t="s">
        <v>94</v>
      </c>
      <c r="AM219" s="17" t="s">
        <v>94</v>
      </c>
      <c r="AN219" s="17" t="s">
        <v>94</v>
      </c>
      <c r="AO219" s="17" t="s">
        <v>98</v>
      </c>
      <c r="AP219" s="17" t="s">
        <v>98</v>
      </c>
      <c r="AQ219" s="17" t="s">
        <v>98</v>
      </c>
      <c r="AR219" s="17" t="s">
        <v>94</v>
      </c>
      <c r="AS219" s="17" t="s">
        <v>2634</v>
      </c>
      <c r="AT219" s="17"/>
      <c r="AU219" s="30" t="s">
        <v>2635</v>
      </c>
      <c r="AV219" s="14">
        <v>3432</v>
      </c>
      <c r="AW219" s="74"/>
      <c r="AX219" s="1"/>
      <c r="AY219" s="17" t="s">
        <v>101</v>
      </c>
    </row>
    <row r="220" spans="1:51" ht="12.75" customHeight="1" x14ac:dyDescent="0.25">
      <c r="A220" s="5">
        <v>219</v>
      </c>
      <c r="B220" s="9">
        <v>219</v>
      </c>
      <c r="C220" s="9" t="s">
        <v>2636</v>
      </c>
      <c r="D220" s="57" t="str">
        <f>HYPERLINK("http://prodenv.dep.state.fl.us/DepNexus/public/electronic-documents/OG_219/facility!search","OG_219_Docs")</f>
        <v>OG_219_Docs</v>
      </c>
      <c r="E220" s="57" t="str">
        <f>HYPERLINK("https://ca.dep.state.fl.us/mapdirect/?focus=oilandgas&amp;zoom=query&amp;querytype=oilandgas&amp;queryvalues=OG_219","OG_219_Map")</f>
        <v>OG_219_Map</v>
      </c>
      <c r="F220" s="1" t="s">
        <v>314</v>
      </c>
      <c r="G220" s="1" t="s">
        <v>79</v>
      </c>
      <c r="H220" s="1" t="s">
        <v>128</v>
      </c>
      <c r="I220" s="1" t="s">
        <v>2637</v>
      </c>
      <c r="J220" s="17" t="s">
        <v>82</v>
      </c>
      <c r="K220" s="17" t="s">
        <v>83</v>
      </c>
      <c r="L220" s="17"/>
      <c r="M220" s="17" t="s">
        <v>101</v>
      </c>
      <c r="N220" s="52" t="s">
        <v>130</v>
      </c>
      <c r="O220" s="17" t="s">
        <v>86</v>
      </c>
      <c r="P220" s="17" t="s">
        <v>86</v>
      </c>
      <c r="Q220" s="81" t="s">
        <v>2638</v>
      </c>
      <c r="R220" s="11">
        <v>30.802363</v>
      </c>
      <c r="S220" s="11">
        <v>-86.355024</v>
      </c>
      <c r="T220" s="11" t="s">
        <v>2639</v>
      </c>
      <c r="U220" s="11" t="s">
        <v>2640</v>
      </c>
      <c r="V220" s="17" t="s">
        <v>2582</v>
      </c>
      <c r="W220" s="17" t="s">
        <v>110</v>
      </c>
      <c r="X220" s="70">
        <v>227</v>
      </c>
      <c r="Y220" s="70">
        <v>218</v>
      </c>
      <c r="Z220" s="13">
        <v>20079</v>
      </c>
      <c r="AA220" s="13">
        <v>20085</v>
      </c>
      <c r="AB220" s="13">
        <v>20093</v>
      </c>
      <c r="AC220" s="13">
        <v>20094</v>
      </c>
      <c r="AD220" s="86">
        <v>5304</v>
      </c>
      <c r="AE220" s="86">
        <v>5304</v>
      </c>
      <c r="AF220" s="70" t="s">
        <v>2641</v>
      </c>
      <c r="AG220" s="17" t="s">
        <v>2642</v>
      </c>
      <c r="AH220" s="17" t="s">
        <v>94</v>
      </c>
      <c r="AI220" s="70" t="s">
        <v>94</v>
      </c>
      <c r="AJ220" s="17" t="s">
        <v>94</v>
      </c>
      <c r="AK220" s="17" t="s">
        <v>95</v>
      </c>
      <c r="AL220" s="17" t="s">
        <v>94</v>
      </c>
      <c r="AM220" s="17" t="s">
        <v>94</v>
      </c>
      <c r="AN220" s="17" t="s">
        <v>94</v>
      </c>
      <c r="AO220" s="17" t="s">
        <v>98</v>
      </c>
      <c r="AP220" s="17" t="s">
        <v>98</v>
      </c>
      <c r="AQ220" s="17" t="s">
        <v>98</v>
      </c>
      <c r="AR220" s="17" t="s">
        <v>94</v>
      </c>
      <c r="AS220" s="17" t="s">
        <v>2643</v>
      </c>
      <c r="AT220" s="17">
        <v>120</v>
      </c>
      <c r="AU220" s="30" t="s">
        <v>2644</v>
      </c>
      <c r="AV220" s="14">
        <v>3409</v>
      </c>
      <c r="AW220" s="74"/>
      <c r="AX220" s="1"/>
      <c r="AY220" s="17" t="s">
        <v>101</v>
      </c>
    </row>
    <row r="221" spans="1:51" ht="12.75" customHeight="1" x14ac:dyDescent="0.25">
      <c r="A221" s="5">
        <v>220</v>
      </c>
      <c r="B221" s="9">
        <v>220</v>
      </c>
      <c r="C221" s="9" t="s">
        <v>2645</v>
      </c>
      <c r="D221" s="57" t="str">
        <f>HYPERLINK("http://prodenv.dep.state.fl.us/DepNexus/public/electronic-documents/OG_220/facility!search","OG_220_Docs")</f>
        <v>OG_220_Docs</v>
      </c>
      <c r="E221" s="57" t="str">
        <f>HYPERLINK("https://ca.dep.state.fl.us/mapdirect/?focus=oilandgas&amp;zoom=query&amp;querytype=oilandgas&amp;queryvalues=OG_220","OG_220_Map")</f>
        <v>OG_220_Map</v>
      </c>
      <c r="F221" s="1" t="s">
        <v>1797</v>
      </c>
      <c r="G221" s="1" t="s">
        <v>79</v>
      </c>
      <c r="H221" s="1" t="s">
        <v>229</v>
      </c>
      <c r="I221" s="1" t="s">
        <v>2646</v>
      </c>
      <c r="J221" s="17" t="s">
        <v>82</v>
      </c>
      <c r="K221" s="17" t="s">
        <v>83</v>
      </c>
      <c r="L221" s="17"/>
      <c r="M221" s="17"/>
      <c r="N221" s="52" t="s">
        <v>130</v>
      </c>
      <c r="O221" s="17" t="s">
        <v>86</v>
      </c>
      <c r="P221" s="17" t="s">
        <v>86</v>
      </c>
      <c r="Q221" s="81" t="s">
        <v>2647</v>
      </c>
      <c r="R221" s="11">
        <v>30.825498</v>
      </c>
      <c r="S221" s="11">
        <v>-87.090361000000001</v>
      </c>
      <c r="T221" s="11" t="s">
        <v>2648</v>
      </c>
      <c r="U221" s="11" t="s">
        <v>2649</v>
      </c>
      <c r="V221" s="17" t="s">
        <v>2650</v>
      </c>
      <c r="W221" s="17" t="s">
        <v>110</v>
      </c>
      <c r="X221" s="70">
        <v>186</v>
      </c>
      <c r="Y221" s="70">
        <v>178.5</v>
      </c>
      <c r="Z221" s="13">
        <v>20086</v>
      </c>
      <c r="AA221" s="13">
        <v>20089</v>
      </c>
      <c r="AB221" s="13">
        <v>20106</v>
      </c>
      <c r="AC221" s="13">
        <v>20107</v>
      </c>
      <c r="AD221" s="86">
        <v>6800</v>
      </c>
      <c r="AE221" s="86">
        <v>6800</v>
      </c>
      <c r="AF221" s="70" t="s">
        <v>94</v>
      </c>
      <c r="AG221" s="17" t="s">
        <v>2651</v>
      </c>
      <c r="AH221" s="17" t="s">
        <v>94</v>
      </c>
      <c r="AI221" s="70" t="s">
        <v>94</v>
      </c>
      <c r="AJ221" s="17" t="s">
        <v>94</v>
      </c>
      <c r="AK221" s="17" t="s">
        <v>95</v>
      </c>
      <c r="AL221" s="17" t="s">
        <v>94</v>
      </c>
      <c r="AM221" s="17" t="s">
        <v>94</v>
      </c>
      <c r="AN221" s="17" t="s">
        <v>94</v>
      </c>
      <c r="AO221" s="17" t="s">
        <v>98</v>
      </c>
      <c r="AP221" s="17" t="s">
        <v>98</v>
      </c>
      <c r="AQ221" s="17" t="s">
        <v>98</v>
      </c>
      <c r="AR221" s="17" t="s">
        <v>94</v>
      </c>
      <c r="AS221" s="17" t="s">
        <v>2652</v>
      </c>
      <c r="AT221" s="17"/>
      <c r="AU221" s="30" t="s">
        <v>2653</v>
      </c>
      <c r="AV221" s="14">
        <v>3787</v>
      </c>
      <c r="AW221" s="74"/>
      <c r="AX221" s="1"/>
      <c r="AY221" s="17" t="s">
        <v>101</v>
      </c>
    </row>
    <row r="222" spans="1:51" ht="12.75" customHeight="1" x14ac:dyDescent="0.25">
      <c r="A222" s="5">
        <v>221</v>
      </c>
      <c r="B222" s="9">
        <v>221</v>
      </c>
      <c r="C222" s="9" t="s">
        <v>2654</v>
      </c>
      <c r="D222" s="57" t="str">
        <f>HYPERLINK("http://prodenv.dep.state.fl.us/DepNexus/public/electronic-documents/OG_221/facility!search","OG_221_Docs")</f>
        <v>OG_221_Docs</v>
      </c>
      <c r="E222" s="57" t="str">
        <f>HYPERLINK("https://ca.dep.state.fl.us/mapdirect/?focus=oilandgas&amp;zoom=query&amp;querytype=oilandgas&amp;queryvalues=OG_221","OG_221_Map")</f>
        <v>OG_221_Map</v>
      </c>
      <c r="F222" s="1" t="s">
        <v>151</v>
      </c>
      <c r="G222" s="1" t="s">
        <v>79</v>
      </c>
      <c r="H222" s="1" t="s">
        <v>128</v>
      </c>
      <c r="I222" s="1" t="s">
        <v>2655</v>
      </c>
      <c r="J222" s="17" t="s">
        <v>82</v>
      </c>
      <c r="K222" s="17" t="s">
        <v>83</v>
      </c>
      <c r="L222" s="17"/>
      <c r="M222" s="17" t="s">
        <v>101</v>
      </c>
      <c r="N222" s="52" t="s">
        <v>130</v>
      </c>
      <c r="O222" s="17" t="s">
        <v>86</v>
      </c>
      <c r="P222" s="17" t="s">
        <v>86</v>
      </c>
      <c r="Q222" s="81" t="s">
        <v>2656</v>
      </c>
      <c r="R222" s="11">
        <v>30.430527999999999</v>
      </c>
      <c r="S222" s="11">
        <v>-85.422533000000001</v>
      </c>
      <c r="T222" s="11" t="s">
        <v>2657</v>
      </c>
      <c r="U222" s="11" t="s">
        <v>2658</v>
      </c>
      <c r="V222" s="17" t="s">
        <v>2659</v>
      </c>
      <c r="W222" s="17" t="s">
        <v>110</v>
      </c>
      <c r="X222" s="70">
        <v>151</v>
      </c>
      <c r="Y222" s="70">
        <v>142</v>
      </c>
      <c r="Z222" s="13">
        <v>20100</v>
      </c>
      <c r="AA222" s="13">
        <v>20109</v>
      </c>
      <c r="AB222" s="13">
        <v>20117</v>
      </c>
      <c r="AC222" s="13">
        <v>20117</v>
      </c>
      <c r="AD222" s="86">
        <v>4531</v>
      </c>
      <c r="AE222" s="86">
        <v>4531</v>
      </c>
      <c r="AF222" s="70" t="s">
        <v>2660</v>
      </c>
      <c r="AG222" s="17" t="s">
        <v>2661</v>
      </c>
      <c r="AH222" s="17" t="s">
        <v>94</v>
      </c>
      <c r="AI222" s="70" t="s">
        <v>94</v>
      </c>
      <c r="AJ222" s="17" t="s">
        <v>94</v>
      </c>
      <c r="AK222" s="17" t="s">
        <v>95</v>
      </c>
      <c r="AL222" s="17" t="s">
        <v>94</v>
      </c>
      <c r="AM222" s="17" t="s">
        <v>94</v>
      </c>
      <c r="AN222" s="17" t="s">
        <v>94</v>
      </c>
      <c r="AO222" s="17" t="s">
        <v>98</v>
      </c>
      <c r="AP222" s="17" t="s">
        <v>98</v>
      </c>
      <c r="AQ222" s="17" t="s">
        <v>98</v>
      </c>
      <c r="AR222" s="17" t="s">
        <v>94</v>
      </c>
      <c r="AS222" s="17" t="s">
        <v>2662</v>
      </c>
      <c r="AT222" s="17">
        <v>130</v>
      </c>
      <c r="AU222" s="30" t="s">
        <v>2663</v>
      </c>
      <c r="AV222" s="14">
        <v>3433</v>
      </c>
      <c r="AW222" s="74"/>
      <c r="AX222" s="1"/>
      <c r="AY222" s="17" t="s">
        <v>101</v>
      </c>
    </row>
    <row r="223" spans="1:51" ht="12.75" customHeight="1" x14ac:dyDescent="0.25">
      <c r="A223" s="5">
        <v>222</v>
      </c>
      <c r="B223" s="9">
        <v>222</v>
      </c>
      <c r="C223" s="9" t="s">
        <v>2664</v>
      </c>
      <c r="D223" s="57" t="str">
        <f>HYPERLINK("http://prodenv.dep.state.fl.us/DepNexus/public/electronic-documents/OG_222/facility!search","OG_222_Docs")</f>
        <v>OG_222_Docs</v>
      </c>
      <c r="E223" s="57" t="str">
        <f>HYPERLINK("https://ca.dep.state.fl.us/mapdirect/?focus=oilandgas&amp;zoom=query&amp;querytype=oilandgas&amp;queryvalues=OG_222","OG_222_Map")</f>
        <v>OG_222_Map</v>
      </c>
      <c r="F223" s="1" t="s">
        <v>265</v>
      </c>
      <c r="G223" s="1" t="s">
        <v>79</v>
      </c>
      <c r="H223" s="1" t="s">
        <v>176</v>
      </c>
      <c r="I223" s="1" t="s">
        <v>2665</v>
      </c>
      <c r="J223" s="17" t="s">
        <v>82</v>
      </c>
      <c r="K223" s="17" t="s">
        <v>83</v>
      </c>
      <c r="L223" s="17" t="s">
        <v>101</v>
      </c>
      <c r="M223" s="17"/>
      <c r="N223" s="52" t="s">
        <v>130</v>
      </c>
      <c r="O223" s="17" t="s">
        <v>270</v>
      </c>
      <c r="P223" s="17" t="s">
        <v>86</v>
      </c>
      <c r="Q223" s="81" t="s">
        <v>2666</v>
      </c>
      <c r="R223" s="11">
        <v>26.406368000000001</v>
      </c>
      <c r="S223" s="11">
        <v>-81.444687999999999</v>
      </c>
      <c r="T223" s="11" t="s">
        <v>2667</v>
      </c>
      <c r="U223" s="11" t="s">
        <v>2668</v>
      </c>
      <c r="V223" s="17" t="s">
        <v>2669</v>
      </c>
      <c r="W223" s="17" t="s">
        <v>110</v>
      </c>
      <c r="X223" s="70">
        <v>43</v>
      </c>
      <c r="Y223" s="70">
        <v>28</v>
      </c>
      <c r="Z223" s="13">
        <v>20114</v>
      </c>
      <c r="AA223" s="13">
        <v>20123</v>
      </c>
      <c r="AB223" s="13">
        <v>20268</v>
      </c>
      <c r="AC223" s="13">
        <v>20276</v>
      </c>
      <c r="AD223" s="86">
        <v>11937</v>
      </c>
      <c r="AE223" s="86">
        <v>11937</v>
      </c>
      <c r="AF223" s="70" t="s">
        <v>2670</v>
      </c>
      <c r="AG223" s="17" t="s">
        <v>2671</v>
      </c>
      <c r="AH223" s="17" t="s">
        <v>2672</v>
      </c>
      <c r="AI223" s="70" t="s">
        <v>2673</v>
      </c>
      <c r="AJ223" s="17" t="s">
        <v>94</v>
      </c>
      <c r="AK223" s="17" t="s">
        <v>95</v>
      </c>
      <c r="AL223" s="17" t="s">
        <v>2674</v>
      </c>
      <c r="AM223" s="17" t="s">
        <v>94</v>
      </c>
      <c r="AN223" s="17" t="s">
        <v>95</v>
      </c>
      <c r="AO223" s="17" t="s">
        <v>98</v>
      </c>
      <c r="AP223" s="17" t="s">
        <v>98</v>
      </c>
      <c r="AQ223" s="17" t="s">
        <v>98</v>
      </c>
      <c r="AR223" s="17" t="s">
        <v>94</v>
      </c>
      <c r="AS223" s="17" t="s">
        <v>2675</v>
      </c>
      <c r="AT223" s="17"/>
      <c r="AU223" s="30" t="s">
        <v>2676</v>
      </c>
      <c r="AV223" s="14">
        <v>3579</v>
      </c>
      <c r="AW223" s="74"/>
      <c r="AX223" s="1" t="s">
        <v>2677</v>
      </c>
      <c r="AY223" s="17" t="s">
        <v>101</v>
      </c>
    </row>
    <row r="224" spans="1:51" ht="12.75" customHeight="1" x14ac:dyDescent="0.25">
      <c r="A224" s="5">
        <v>223</v>
      </c>
      <c r="B224" s="9">
        <v>223</v>
      </c>
      <c r="C224" s="9" t="s">
        <v>2678</v>
      </c>
      <c r="D224" s="57" t="str">
        <f>HYPERLINK("http://prodenv.dep.state.fl.us/DepNexus/public/electronic-documents/OG_223/facility!search","OG_223_Docs")</f>
        <v>OG_223_Docs</v>
      </c>
      <c r="E224" s="57" t="str">
        <f>HYPERLINK("https://ca.dep.state.fl.us/mapdirect/?focus=oilandgas&amp;zoom=query&amp;querytype=oilandgas&amp;queryvalues=OG_223","OG_223_Map")</f>
        <v>OG_223_Map</v>
      </c>
      <c r="F224" s="1" t="s">
        <v>1797</v>
      </c>
      <c r="G224" s="1" t="s">
        <v>79</v>
      </c>
      <c r="H224" s="1" t="s">
        <v>2679</v>
      </c>
      <c r="I224" s="1" t="s">
        <v>2680</v>
      </c>
      <c r="J224" s="17" t="s">
        <v>82</v>
      </c>
      <c r="K224" s="17" t="s">
        <v>83</v>
      </c>
      <c r="L224" s="17"/>
      <c r="M224" s="17"/>
      <c r="N224" s="52" t="s">
        <v>130</v>
      </c>
      <c r="O224" s="17" t="s">
        <v>86</v>
      </c>
      <c r="P224" s="17" t="s">
        <v>86</v>
      </c>
      <c r="Q224" s="81" t="s">
        <v>2681</v>
      </c>
      <c r="R224" s="11">
        <v>30.984331000000001</v>
      </c>
      <c r="S224" s="11">
        <v>-87.153895000000006</v>
      </c>
      <c r="T224" s="11" t="s">
        <v>2682</v>
      </c>
      <c r="U224" s="11" t="s">
        <v>2683</v>
      </c>
      <c r="V224" s="17" t="s">
        <v>1117</v>
      </c>
      <c r="W224" s="17" t="s">
        <v>110</v>
      </c>
      <c r="X224" s="70">
        <v>180</v>
      </c>
      <c r="Y224" s="70">
        <v>170</v>
      </c>
      <c r="Z224" s="13">
        <v>20114</v>
      </c>
      <c r="AA224" s="13">
        <v>20108</v>
      </c>
      <c r="AB224" s="13">
        <v>20121</v>
      </c>
      <c r="AC224" s="13">
        <v>20122</v>
      </c>
      <c r="AD224" s="86">
        <v>6490</v>
      </c>
      <c r="AE224" s="86">
        <v>6490</v>
      </c>
      <c r="AF224" s="70" t="s">
        <v>94</v>
      </c>
      <c r="AG224" s="17" t="s">
        <v>2684</v>
      </c>
      <c r="AH224" s="17" t="s">
        <v>94</v>
      </c>
      <c r="AI224" s="70" t="s">
        <v>94</v>
      </c>
      <c r="AJ224" s="17" t="s">
        <v>94</v>
      </c>
      <c r="AK224" s="17" t="s">
        <v>95</v>
      </c>
      <c r="AL224" s="17" t="s">
        <v>86</v>
      </c>
      <c r="AM224" s="17" t="s">
        <v>94</v>
      </c>
      <c r="AN224" s="17" t="s">
        <v>94</v>
      </c>
      <c r="AO224" s="17" t="s">
        <v>98</v>
      </c>
      <c r="AP224" s="17" t="s">
        <v>98</v>
      </c>
      <c r="AQ224" s="17" t="s">
        <v>98</v>
      </c>
      <c r="AR224" s="17" t="s">
        <v>94</v>
      </c>
      <c r="AS224" s="17" t="s">
        <v>2685</v>
      </c>
      <c r="AT224" s="17"/>
      <c r="AU224" s="30" t="s">
        <v>2686</v>
      </c>
      <c r="AV224" s="14">
        <v>3490</v>
      </c>
      <c r="AW224" s="74"/>
      <c r="AX224" s="1"/>
      <c r="AY224" s="17" t="s">
        <v>101</v>
      </c>
    </row>
    <row r="225" spans="1:51" ht="12.75" customHeight="1" x14ac:dyDescent="0.25">
      <c r="A225" s="5">
        <v>224</v>
      </c>
      <c r="B225" s="9">
        <v>224</v>
      </c>
      <c r="C225" s="9" t="s">
        <v>2687</v>
      </c>
      <c r="D225" s="57" t="str">
        <f>HYPERLINK("http://prodenv.dep.state.fl.us/DepNexus/public/electronic-documents/OG_224/facility!search","OG_224_Docs")</f>
        <v>OG_224_Docs</v>
      </c>
      <c r="E225" s="57" t="str">
        <f>HYPERLINK("https://ca.dep.state.fl.us/mapdirect/?focus=oilandgas&amp;zoom=query&amp;querytype=oilandgas&amp;queryvalues=OG_224","OG_224_Map")</f>
        <v>OG_224_Map</v>
      </c>
      <c r="F225" s="1" t="s">
        <v>1797</v>
      </c>
      <c r="G225" s="1" t="s">
        <v>1798</v>
      </c>
      <c r="H225" s="1" t="s">
        <v>2679</v>
      </c>
      <c r="I225" s="1" t="s">
        <v>2688</v>
      </c>
      <c r="J225" s="17" t="s">
        <v>82</v>
      </c>
      <c r="K225" s="17" t="s">
        <v>83</v>
      </c>
      <c r="L225" s="17"/>
      <c r="M225" s="17"/>
      <c r="N225" s="52" t="s">
        <v>130</v>
      </c>
      <c r="O225" s="17" t="s">
        <v>86</v>
      </c>
      <c r="P225" s="17" t="s">
        <v>86</v>
      </c>
      <c r="Q225" s="81" t="s">
        <v>2689</v>
      </c>
      <c r="R225" s="11">
        <v>30.985845999999999</v>
      </c>
      <c r="S225" s="11">
        <v>-87.156897999999998</v>
      </c>
      <c r="T225" s="11" t="s">
        <v>2690</v>
      </c>
      <c r="U225" s="11" t="s">
        <v>2691</v>
      </c>
      <c r="V225" s="17" t="s">
        <v>1811</v>
      </c>
      <c r="W225" s="17" t="s">
        <v>110</v>
      </c>
      <c r="X225" s="70">
        <v>227</v>
      </c>
      <c r="Y225" s="70">
        <v>134</v>
      </c>
      <c r="Z225" s="13">
        <v>20128</v>
      </c>
      <c r="AA225" s="13">
        <v>20123</v>
      </c>
      <c r="AB225" s="13">
        <v>20140</v>
      </c>
      <c r="AC225" s="13">
        <v>20140</v>
      </c>
      <c r="AD225" s="86">
        <v>6381</v>
      </c>
      <c r="AE225" s="86">
        <v>6381</v>
      </c>
      <c r="AF225" s="70" t="s">
        <v>94</v>
      </c>
      <c r="AG225" s="17" t="s">
        <v>2692</v>
      </c>
      <c r="AH225" s="17" t="s">
        <v>94</v>
      </c>
      <c r="AI225" s="70" t="s">
        <v>94</v>
      </c>
      <c r="AJ225" s="17" t="s">
        <v>94</v>
      </c>
      <c r="AK225" s="17" t="s">
        <v>95</v>
      </c>
      <c r="AL225" s="17" t="s">
        <v>86</v>
      </c>
      <c r="AM225" s="17" t="s">
        <v>94</v>
      </c>
      <c r="AN225" s="17" t="s">
        <v>94</v>
      </c>
      <c r="AO225" s="17" t="s">
        <v>98</v>
      </c>
      <c r="AP225" s="17" t="s">
        <v>98</v>
      </c>
      <c r="AQ225" s="17" t="s">
        <v>98</v>
      </c>
      <c r="AR225" s="17" t="s">
        <v>94</v>
      </c>
      <c r="AS225" s="17" t="s">
        <v>2693</v>
      </c>
      <c r="AT225" s="17"/>
      <c r="AU225" s="30" t="s">
        <v>2694</v>
      </c>
      <c r="AV225" s="14">
        <v>3507</v>
      </c>
      <c r="AW225" s="74"/>
      <c r="AX225" s="1" t="s">
        <v>2695</v>
      </c>
      <c r="AY225" s="17" t="s">
        <v>101</v>
      </c>
    </row>
    <row r="226" spans="1:51" ht="12.75" customHeight="1" x14ac:dyDescent="0.25">
      <c r="A226" s="5">
        <v>225</v>
      </c>
      <c r="B226" s="9">
        <v>225</v>
      </c>
      <c r="C226" s="9" t="s">
        <v>2696</v>
      </c>
      <c r="D226" s="57" t="str">
        <f>HYPERLINK("http://prodenv.dep.state.fl.us/DepNexus/public/electronic-documents/OG_225/facility!search","OG_225_Docs")</f>
        <v>OG_225_Docs</v>
      </c>
      <c r="E226" s="57" t="str">
        <f>HYPERLINK("https://ca.dep.state.fl.us/mapdirect/?focus=oilandgas&amp;zoom=query&amp;querytype=oilandgas&amp;queryvalues=OG_225","OG_225_Map")</f>
        <v>OG_225_Map</v>
      </c>
      <c r="F226" s="1" t="s">
        <v>2697</v>
      </c>
      <c r="G226" s="1" t="s">
        <v>79</v>
      </c>
      <c r="H226" s="1" t="s">
        <v>2698</v>
      </c>
      <c r="I226" s="1" t="s">
        <v>2699</v>
      </c>
      <c r="J226" s="17" t="s">
        <v>82</v>
      </c>
      <c r="K226" s="17" t="s">
        <v>83</v>
      </c>
      <c r="L226" s="17" t="s">
        <v>101</v>
      </c>
      <c r="M226" s="17" t="s">
        <v>101</v>
      </c>
      <c r="N226" s="52" t="s">
        <v>2472</v>
      </c>
      <c r="O226" s="17" t="s">
        <v>86</v>
      </c>
      <c r="P226" s="17" t="s">
        <v>86</v>
      </c>
      <c r="Q226" s="81" t="s">
        <v>2700</v>
      </c>
      <c r="R226" s="11">
        <v>27.159614000000001</v>
      </c>
      <c r="S226" s="11">
        <v>-81.537231000000006</v>
      </c>
      <c r="T226" s="11" t="s">
        <v>2701</v>
      </c>
      <c r="U226" s="11" t="s">
        <v>2702</v>
      </c>
      <c r="V226" s="17" t="s">
        <v>212</v>
      </c>
      <c r="W226" s="17" t="s">
        <v>110</v>
      </c>
      <c r="X226" s="70">
        <v>88</v>
      </c>
      <c r="Y226" s="70">
        <v>75</v>
      </c>
      <c r="Z226" s="13">
        <v>20149</v>
      </c>
      <c r="AA226" s="13">
        <v>20152</v>
      </c>
      <c r="AB226" s="13">
        <v>20270</v>
      </c>
      <c r="AC226" s="13">
        <v>20246</v>
      </c>
      <c r="AD226" s="86">
        <v>12630</v>
      </c>
      <c r="AE226" s="86">
        <v>12630</v>
      </c>
      <c r="AF226" s="70" t="s">
        <v>2703</v>
      </c>
      <c r="AG226" s="17" t="s">
        <v>2704</v>
      </c>
      <c r="AH226" s="17" t="s">
        <v>2705</v>
      </c>
      <c r="AI226" s="70" t="s">
        <v>94</v>
      </c>
      <c r="AJ226" s="17" t="s">
        <v>94</v>
      </c>
      <c r="AK226" s="17" t="s">
        <v>95</v>
      </c>
      <c r="AL226" s="17" t="s">
        <v>2706</v>
      </c>
      <c r="AM226" s="17" t="s">
        <v>95</v>
      </c>
      <c r="AN226" s="17" t="s">
        <v>2707</v>
      </c>
      <c r="AO226" s="17" t="s">
        <v>98</v>
      </c>
      <c r="AP226" s="17" t="s">
        <v>98</v>
      </c>
      <c r="AQ226" s="17" t="s">
        <v>98</v>
      </c>
      <c r="AR226" s="17" t="s">
        <v>94</v>
      </c>
      <c r="AS226" s="17" t="s">
        <v>2708</v>
      </c>
      <c r="AT226" s="17">
        <v>172</v>
      </c>
      <c r="AU226" s="30" t="s">
        <v>2709</v>
      </c>
      <c r="AV226" s="14">
        <v>3578</v>
      </c>
      <c r="AW226" s="74"/>
      <c r="AX226" s="1"/>
      <c r="AY226" s="17" t="s">
        <v>101</v>
      </c>
    </row>
    <row r="227" spans="1:51" ht="12.75" customHeight="1" x14ac:dyDescent="0.25">
      <c r="A227" s="5">
        <v>226</v>
      </c>
      <c r="B227" s="9">
        <v>226</v>
      </c>
      <c r="C227" s="9" t="s">
        <v>2710</v>
      </c>
      <c r="D227" s="57" t="str">
        <f>HYPERLINK("http://prodenv.dep.state.fl.us/DepNexus/public/electronic-documents/OG_226/facility!search","OG_226_Docs")</f>
        <v>OG_226_Docs</v>
      </c>
      <c r="E227" s="57" t="str">
        <f>HYPERLINK("https://ca.dep.state.fl.us/mapdirect/?focus=oilandgas&amp;zoom=query&amp;querytype=oilandgas&amp;queryvalues=OG_226","OG_226_Map")</f>
        <v>OG_226_Map</v>
      </c>
      <c r="F227" s="1" t="s">
        <v>841</v>
      </c>
      <c r="G227" s="1" t="s">
        <v>79</v>
      </c>
      <c r="H227" s="1" t="s">
        <v>2711</v>
      </c>
      <c r="I227" s="1" t="s">
        <v>2712</v>
      </c>
      <c r="J227" s="17" t="s">
        <v>82</v>
      </c>
      <c r="K227" s="17" t="s">
        <v>83</v>
      </c>
      <c r="L227" s="17"/>
      <c r="M227" s="17"/>
      <c r="N227" s="52" t="s">
        <v>130</v>
      </c>
      <c r="O227" s="17" t="s">
        <v>86</v>
      </c>
      <c r="P227" s="17" t="s">
        <v>86</v>
      </c>
      <c r="Q227" s="81" t="s">
        <v>2713</v>
      </c>
      <c r="R227" s="11">
        <v>30.982294</v>
      </c>
      <c r="S227" s="11">
        <v>-85.850645</v>
      </c>
      <c r="T227" s="11" t="s">
        <v>2714</v>
      </c>
      <c r="U227" s="11" t="s">
        <v>2715</v>
      </c>
      <c r="V227" s="17" t="s">
        <v>1117</v>
      </c>
      <c r="W227" s="17" t="s">
        <v>110</v>
      </c>
      <c r="X227" s="70">
        <v>134</v>
      </c>
      <c r="Y227" s="70">
        <v>129.5</v>
      </c>
      <c r="Z227" s="13">
        <v>20149</v>
      </c>
      <c r="AA227" s="13">
        <v>20149</v>
      </c>
      <c r="AB227" s="13">
        <v>20160</v>
      </c>
      <c r="AC227" s="13">
        <v>20160</v>
      </c>
      <c r="AD227" s="86">
        <v>3922</v>
      </c>
      <c r="AE227" s="86">
        <v>3922</v>
      </c>
      <c r="AF227" s="70" t="s">
        <v>94</v>
      </c>
      <c r="AG227" s="17" t="s">
        <v>2716</v>
      </c>
      <c r="AH227" s="17" t="s">
        <v>94</v>
      </c>
      <c r="AI227" s="70" t="s">
        <v>94</v>
      </c>
      <c r="AJ227" s="17" t="s">
        <v>94</v>
      </c>
      <c r="AK227" s="17" t="s">
        <v>95</v>
      </c>
      <c r="AL227" s="17" t="s">
        <v>86</v>
      </c>
      <c r="AM227" s="17" t="s">
        <v>94</v>
      </c>
      <c r="AN227" s="17" t="s">
        <v>94</v>
      </c>
      <c r="AO227" s="17" t="s">
        <v>98</v>
      </c>
      <c r="AP227" s="17" t="s">
        <v>98</v>
      </c>
      <c r="AQ227" s="17" t="s">
        <v>98</v>
      </c>
      <c r="AR227" s="17" t="s">
        <v>94</v>
      </c>
      <c r="AS227" s="17" t="s">
        <v>2717</v>
      </c>
      <c r="AT227" s="17"/>
      <c r="AU227" s="30" t="s">
        <v>2718</v>
      </c>
      <c r="AV227" s="14">
        <v>3466</v>
      </c>
      <c r="AW227" s="74"/>
      <c r="AX227" s="1"/>
      <c r="AY227" s="17" t="s">
        <v>101</v>
      </c>
    </row>
    <row r="228" spans="1:51" ht="12.75" customHeight="1" x14ac:dyDescent="0.25">
      <c r="A228" s="5">
        <v>227</v>
      </c>
      <c r="B228" s="9">
        <v>227</v>
      </c>
      <c r="C228" s="9" t="s">
        <v>2719</v>
      </c>
      <c r="D228" s="57" t="str">
        <f>HYPERLINK("http://prodenv.dep.state.fl.us/DepNexus/public/electronic-documents/OG_227/facility!search","OG_227_Docs")</f>
        <v>OG_227_Docs</v>
      </c>
      <c r="E228" s="57" t="str">
        <f>HYPERLINK("https://ca.dep.state.fl.us/mapdirect/?focus=oilandgas&amp;zoom=query&amp;querytype=oilandgas&amp;queryvalues=OG_227","OG_227_Map")</f>
        <v>OG_227_Map</v>
      </c>
      <c r="F228" s="1" t="s">
        <v>841</v>
      </c>
      <c r="G228" s="1" t="s">
        <v>79</v>
      </c>
      <c r="H228" s="1" t="s">
        <v>2711</v>
      </c>
      <c r="I228" s="1" t="s">
        <v>2720</v>
      </c>
      <c r="J228" s="17" t="s">
        <v>82</v>
      </c>
      <c r="K228" s="17" t="s">
        <v>83</v>
      </c>
      <c r="L228" s="17"/>
      <c r="M228" s="17"/>
      <c r="N228" s="52" t="s">
        <v>130</v>
      </c>
      <c r="O228" s="17" t="s">
        <v>86</v>
      </c>
      <c r="P228" s="17" t="s">
        <v>86</v>
      </c>
      <c r="Q228" s="81" t="s">
        <v>2721</v>
      </c>
      <c r="R228" s="11">
        <v>30.981268</v>
      </c>
      <c r="S228" s="11">
        <v>-85.756996000000001</v>
      </c>
      <c r="T228" s="11" t="s">
        <v>2722</v>
      </c>
      <c r="U228" s="11" t="s">
        <v>2723</v>
      </c>
      <c r="V228" s="17" t="s">
        <v>2724</v>
      </c>
      <c r="W228" s="17" t="s">
        <v>110</v>
      </c>
      <c r="X228" s="70"/>
      <c r="Y228" s="70">
        <v>208</v>
      </c>
      <c r="Z228" s="13">
        <v>20149</v>
      </c>
      <c r="AA228" s="13">
        <v>20138</v>
      </c>
      <c r="AB228" s="13">
        <v>20148</v>
      </c>
      <c r="AC228" s="13">
        <v>20148</v>
      </c>
      <c r="AD228" s="86">
        <v>3800</v>
      </c>
      <c r="AE228" s="86">
        <v>3800</v>
      </c>
      <c r="AF228" s="70" t="s">
        <v>94</v>
      </c>
      <c r="AG228" s="17" t="s">
        <v>2692</v>
      </c>
      <c r="AH228" s="17" t="s">
        <v>94</v>
      </c>
      <c r="AI228" s="70" t="s">
        <v>94</v>
      </c>
      <c r="AJ228" s="17" t="s">
        <v>94</v>
      </c>
      <c r="AK228" s="17" t="s">
        <v>95</v>
      </c>
      <c r="AL228" s="17" t="s">
        <v>86</v>
      </c>
      <c r="AM228" s="17" t="s">
        <v>94</v>
      </c>
      <c r="AN228" s="17" t="s">
        <v>94</v>
      </c>
      <c r="AO228" s="17" t="s">
        <v>98</v>
      </c>
      <c r="AP228" s="17" t="s">
        <v>98</v>
      </c>
      <c r="AQ228" s="17" t="s">
        <v>98</v>
      </c>
      <c r="AR228" s="17" t="s">
        <v>94</v>
      </c>
      <c r="AS228" s="17" t="s">
        <v>2725</v>
      </c>
      <c r="AT228" s="17"/>
      <c r="AU228" s="30" t="s">
        <v>2726</v>
      </c>
      <c r="AV228" s="14">
        <v>3457</v>
      </c>
      <c r="AW228" s="74"/>
      <c r="AX228" s="1"/>
      <c r="AY228" s="17" t="s">
        <v>101</v>
      </c>
    </row>
    <row r="229" spans="1:51" ht="12.75" customHeight="1" x14ac:dyDescent="0.25">
      <c r="A229" s="5">
        <v>228</v>
      </c>
      <c r="B229" s="9">
        <v>228</v>
      </c>
      <c r="C229" s="9" t="s">
        <v>2727</v>
      </c>
      <c r="D229" s="57" t="str">
        <f>HYPERLINK("http://prodenv.dep.state.fl.us/DepNexus/public/electronic-documents/OG_228/facility!search","OG_228_Docs")</f>
        <v>OG_228_Docs</v>
      </c>
      <c r="E229" s="57" t="str">
        <f>HYPERLINK("https://ca.dep.state.fl.us/mapdirect/?focus=oilandgas&amp;zoom=query&amp;querytype=oilandgas&amp;queryvalues=OG_228","OG_228_Map")</f>
        <v>OG_228_Map</v>
      </c>
      <c r="F229" s="1" t="s">
        <v>829</v>
      </c>
      <c r="G229" s="1" t="s">
        <v>79</v>
      </c>
      <c r="H229" s="1" t="s">
        <v>2679</v>
      </c>
      <c r="I229" s="1" t="s">
        <v>2728</v>
      </c>
      <c r="J229" s="17" t="s">
        <v>82</v>
      </c>
      <c r="K229" s="17" t="s">
        <v>83</v>
      </c>
      <c r="L229" s="17"/>
      <c r="M229" s="17" t="s">
        <v>101</v>
      </c>
      <c r="N229" s="52" t="s">
        <v>130</v>
      </c>
      <c r="O229" s="17" t="s">
        <v>86</v>
      </c>
      <c r="P229" s="17" t="s">
        <v>86</v>
      </c>
      <c r="Q229" s="81" t="s">
        <v>2729</v>
      </c>
      <c r="R229" s="11">
        <v>30.710643999999998</v>
      </c>
      <c r="S229" s="11">
        <v>-86.619769000000005</v>
      </c>
      <c r="T229" s="11" t="s">
        <v>2730</v>
      </c>
      <c r="U229" s="11" t="s">
        <v>2731</v>
      </c>
      <c r="V229" s="17" t="s">
        <v>492</v>
      </c>
      <c r="W229" s="17" t="s">
        <v>110</v>
      </c>
      <c r="X229" s="70">
        <v>227</v>
      </c>
      <c r="Y229" s="70">
        <v>217</v>
      </c>
      <c r="Z229" s="13">
        <v>20149</v>
      </c>
      <c r="AA229" s="13">
        <v>20144</v>
      </c>
      <c r="AB229" s="13">
        <v>20155</v>
      </c>
      <c r="AC229" s="13">
        <v>20156</v>
      </c>
      <c r="AD229" s="86">
        <v>6250</v>
      </c>
      <c r="AE229" s="86">
        <v>6250</v>
      </c>
      <c r="AF229" s="70" t="s">
        <v>94</v>
      </c>
      <c r="AG229" s="17" t="s">
        <v>2732</v>
      </c>
      <c r="AH229" s="17" t="s">
        <v>94</v>
      </c>
      <c r="AI229" s="70" t="s">
        <v>94</v>
      </c>
      <c r="AJ229" s="17" t="s">
        <v>94</v>
      </c>
      <c r="AK229" s="17" t="s">
        <v>95</v>
      </c>
      <c r="AL229" s="17" t="s">
        <v>86</v>
      </c>
      <c r="AM229" s="17" t="s">
        <v>94</v>
      </c>
      <c r="AN229" s="17" t="s">
        <v>94</v>
      </c>
      <c r="AO229" s="17" t="s">
        <v>98</v>
      </c>
      <c r="AP229" s="17" t="s">
        <v>98</v>
      </c>
      <c r="AQ229" s="17" t="s">
        <v>98</v>
      </c>
      <c r="AR229" s="17" t="s">
        <v>94</v>
      </c>
      <c r="AS229" s="17" t="s">
        <v>2733</v>
      </c>
      <c r="AT229" s="17">
        <v>134</v>
      </c>
      <c r="AU229" s="30" t="s">
        <v>2734</v>
      </c>
      <c r="AV229" s="14">
        <v>3506</v>
      </c>
      <c r="AW229" s="74"/>
      <c r="AX229" s="1"/>
      <c r="AY229" s="17" t="s">
        <v>101</v>
      </c>
    </row>
    <row r="230" spans="1:51" ht="12.75" customHeight="1" x14ac:dyDescent="0.25">
      <c r="A230" s="5">
        <v>229</v>
      </c>
      <c r="B230" s="9">
        <v>229</v>
      </c>
      <c r="C230" s="9" t="s">
        <v>2735</v>
      </c>
      <c r="D230" s="57" t="str">
        <f>HYPERLINK("http://prodenv.dep.state.fl.us/DepNexus/public/electronic-documents/OG_229/facility!search","OG_229_Docs")</f>
        <v>OG_229_Docs</v>
      </c>
      <c r="E230" s="57" t="str">
        <f>HYPERLINK("https://ca.dep.state.fl.us/mapdirect/?focus=oilandgas&amp;zoom=query&amp;querytype=oilandgas&amp;queryvalues=OG_229","OG_229_Map")</f>
        <v>OG_229_Map</v>
      </c>
      <c r="F230" s="1" t="s">
        <v>1797</v>
      </c>
      <c r="G230" s="1" t="s">
        <v>79</v>
      </c>
      <c r="H230" s="1" t="s">
        <v>2679</v>
      </c>
      <c r="I230" s="1" t="s">
        <v>2736</v>
      </c>
      <c r="J230" s="17" t="s">
        <v>82</v>
      </c>
      <c r="K230" s="17" t="s">
        <v>83</v>
      </c>
      <c r="L230" s="17"/>
      <c r="M230" s="17"/>
      <c r="N230" s="52" t="s">
        <v>130</v>
      </c>
      <c r="O230" s="17" t="s">
        <v>86</v>
      </c>
      <c r="P230" s="17" t="s">
        <v>86</v>
      </c>
      <c r="Q230" s="81" t="s">
        <v>2737</v>
      </c>
      <c r="R230" s="11">
        <v>30.852764000000001</v>
      </c>
      <c r="S230" s="11">
        <v>-87.285495999999995</v>
      </c>
      <c r="T230" s="11" t="s">
        <v>2738</v>
      </c>
      <c r="U230" s="11" t="s">
        <v>2739</v>
      </c>
      <c r="V230" s="17" t="s">
        <v>835</v>
      </c>
      <c r="W230" s="17" t="s">
        <v>110</v>
      </c>
      <c r="X230" s="70">
        <v>70.5</v>
      </c>
      <c r="Y230" s="70">
        <v>60.5</v>
      </c>
      <c r="Z230" s="13">
        <v>20163</v>
      </c>
      <c r="AA230" s="13">
        <v>20160</v>
      </c>
      <c r="AB230" s="13">
        <v>20173</v>
      </c>
      <c r="AC230" s="13">
        <v>20174</v>
      </c>
      <c r="AD230" s="86">
        <v>7038</v>
      </c>
      <c r="AE230" s="86">
        <v>7038</v>
      </c>
      <c r="AF230" s="70" t="s">
        <v>94</v>
      </c>
      <c r="AG230" s="17" t="s">
        <v>2740</v>
      </c>
      <c r="AH230" s="17" t="s">
        <v>94</v>
      </c>
      <c r="AI230" s="70" t="s">
        <v>94</v>
      </c>
      <c r="AJ230" s="17" t="s">
        <v>94</v>
      </c>
      <c r="AK230" s="17" t="s">
        <v>95</v>
      </c>
      <c r="AL230" s="17" t="s">
        <v>86</v>
      </c>
      <c r="AM230" s="17" t="s">
        <v>94</v>
      </c>
      <c r="AN230" s="17" t="s">
        <v>94</v>
      </c>
      <c r="AO230" s="17" t="s">
        <v>98</v>
      </c>
      <c r="AP230" s="17" t="s">
        <v>98</v>
      </c>
      <c r="AQ230" s="17" t="s">
        <v>98</v>
      </c>
      <c r="AR230" s="17" t="s">
        <v>94</v>
      </c>
      <c r="AS230" s="17" t="s">
        <v>2741</v>
      </c>
      <c r="AT230" s="17"/>
      <c r="AU230" s="30" t="s">
        <v>2742</v>
      </c>
      <c r="AV230" s="14">
        <v>3503</v>
      </c>
      <c r="AW230" s="74"/>
      <c r="AX230" s="1"/>
      <c r="AY230" s="17" t="s">
        <v>101</v>
      </c>
    </row>
    <row r="231" spans="1:51" ht="12.75" customHeight="1" x14ac:dyDescent="0.25">
      <c r="A231" s="5">
        <v>230</v>
      </c>
      <c r="B231" s="9">
        <v>230</v>
      </c>
      <c r="C231" s="9" t="s">
        <v>2743</v>
      </c>
      <c r="D231" s="57" t="str">
        <f>HYPERLINK("http://prodenv.dep.state.fl.us/DepNexus/public/electronic-documents/OG_230/facility!search","OG_230_Docs")</f>
        <v>OG_230_Docs</v>
      </c>
      <c r="E231" s="57" t="str">
        <f>HYPERLINK("https://ca.dep.state.fl.us/mapdirect/?focus=oilandgas&amp;zoom=query&amp;querytype=oilandgas&amp;queryvalues=OG_230","OG_230_Map")</f>
        <v>OG_230_Map</v>
      </c>
      <c r="F231" s="1" t="s">
        <v>2744</v>
      </c>
      <c r="G231" s="1" t="s">
        <v>79</v>
      </c>
      <c r="H231" s="1" t="s">
        <v>2745</v>
      </c>
      <c r="I231" s="1" t="s">
        <v>2746</v>
      </c>
      <c r="J231" s="17" t="s">
        <v>82</v>
      </c>
      <c r="K231" s="17" t="s">
        <v>83</v>
      </c>
      <c r="L231" s="17"/>
      <c r="M231" s="17" t="s">
        <v>101</v>
      </c>
      <c r="N231" s="52" t="s">
        <v>2747</v>
      </c>
      <c r="O231" s="17" t="s">
        <v>86</v>
      </c>
      <c r="P231" s="17" t="s">
        <v>86</v>
      </c>
      <c r="Q231" s="81" t="s">
        <v>2748</v>
      </c>
      <c r="R231" s="11">
        <v>28.468418</v>
      </c>
      <c r="S231" s="11">
        <v>-81.217305999999994</v>
      </c>
      <c r="T231" s="11" t="s">
        <v>2749</v>
      </c>
      <c r="U231" s="11" t="s">
        <v>2750</v>
      </c>
      <c r="V231" s="17" t="s">
        <v>2751</v>
      </c>
      <c r="W231" s="17" t="s">
        <v>110</v>
      </c>
      <c r="X231" s="70">
        <v>100</v>
      </c>
      <c r="Y231" s="70">
        <v>65</v>
      </c>
      <c r="Z231" s="13">
        <v>20170</v>
      </c>
      <c r="AA231" s="13">
        <v>20295</v>
      </c>
      <c r="AB231" s="13">
        <v>20346</v>
      </c>
      <c r="AC231" s="13">
        <v>20346</v>
      </c>
      <c r="AD231" s="86">
        <v>6589</v>
      </c>
      <c r="AE231" s="86">
        <v>6589</v>
      </c>
      <c r="AF231" s="70" t="s">
        <v>2752</v>
      </c>
      <c r="AG231" s="17" t="s">
        <v>2753</v>
      </c>
      <c r="AH231" s="17" t="s">
        <v>2754</v>
      </c>
      <c r="AI231" s="70" t="s">
        <v>94</v>
      </c>
      <c r="AJ231" s="17" t="s">
        <v>94</v>
      </c>
      <c r="AK231" s="17" t="s">
        <v>95</v>
      </c>
      <c r="AL231" s="17" t="s">
        <v>2755</v>
      </c>
      <c r="AM231" s="17" t="s">
        <v>94</v>
      </c>
      <c r="AN231" s="17" t="s">
        <v>2756</v>
      </c>
      <c r="AO231" s="17" t="s">
        <v>98</v>
      </c>
      <c r="AP231" s="17" t="s">
        <v>98</v>
      </c>
      <c r="AQ231" s="17" t="s">
        <v>98</v>
      </c>
      <c r="AR231" s="17" t="s">
        <v>94</v>
      </c>
      <c r="AS231" s="17" t="s">
        <v>2757</v>
      </c>
      <c r="AT231" s="17">
        <v>152</v>
      </c>
      <c r="AU231" s="30" t="s">
        <v>2758</v>
      </c>
      <c r="AV231" s="14">
        <v>3673</v>
      </c>
      <c r="AW231" s="74"/>
      <c r="AX231" s="1" t="s">
        <v>2759</v>
      </c>
      <c r="AY231" s="17" t="s">
        <v>101</v>
      </c>
    </row>
    <row r="232" spans="1:51" ht="12.75" customHeight="1" x14ac:dyDescent="0.25">
      <c r="A232" s="5">
        <v>231</v>
      </c>
      <c r="B232" s="9">
        <v>231</v>
      </c>
      <c r="C232" s="9" t="s">
        <v>2760</v>
      </c>
      <c r="D232" s="57" t="str">
        <f>HYPERLINK("http://prodenv.dep.state.fl.us/DepNexus/public/electronic-documents/OG_231/facility!search","OG_231_Docs")</f>
        <v>OG_231_Docs</v>
      </c>
      <c r="E232" s="57" t="str">
        <f>HYPERLINK("https://ca.dep.state.fl.us/mapdirect/?focus=oilandgas&amp;zoom=query&amp;querytype=oilandgas&amp;queryvalues=OG_231","OG_231_Map")</f>
        <v>OG_231_Map</v>
      </c>
      <c r="F232" s="1" t="s">
        <v>841</v>
      </c>
      <c r="G232" s="1" t="s">
        <v>79</v>
      </c>
      <c r="H232" s="1" t="s">
        <v>2711</v>
      </c>
      <c r="I232" s="1" t="s">
        <v>2761</v>
      </c>
      <c r="J232" s="17" t="s">
        <v>82</v>
      </c>
      <c r="K232" s="17" t="s">
        <v>83</v>
      </c>
      <c r="L232" s="17"/>
      <c r="M232" s="17"/>
      <c r="N232" s="52" t="s">
        <v>130</v>
      </c>
      <c r="O232" s="17" t="s">
        <v>86</v>
      </c>
      <c r="P232" s="17" t="s">
        <v>86</v>
      </c>
      <c r="Q232" s="81" t="s">
        <v>2762</v>
      </c>
      <c r="R232" s="11">
        <v>30.855069</v>
      </c>
      <c r="S232" s="11">
        <v>-85.932687000000001</v>
      </c>
      <c r="T232" s="11" t="s">
        <v>2763</v>
      </c>
      <c r="U232" s="11" t="s">
        <v>2764</v>
      </c>
      <c r="V232" s="17" t="s">
        <v>246</v>
      </c>
      <c r="W232" s="17" t="s">
        <v>110</v>
      </c>
      <c r="X232" s="70">
        <v>196</v>
      </c>
      <c r="Y232" s="70">
        <v>192.27</v>
      </c>
      <c r="Z232" s="13">
        <v>20170</v>
      </c>
      <c r="AA232" s="13">
        <v>20157</v>
      </c>
      <c r="AB232" s="13">
        <v>20176</v>
      </c>
      <c r="AC232" s="13">
        <v>20177</v>
      </c>
      <c r="AD232" s="86">
        <v>4280</v>
      </c>
      <c r="AE232" s="86">
        <v>4280</v>
      </c>
      <c r="AF232" s="70" t="s">
        <v>94</v>
      </c>
      <c r="AG232" s="17" t="s">
        <v>2765</v>
      </c>
      <c r="AH232" s="17" t="s">
        <v>94</v>
      </c>
      <c r="AI232" s="70" t="s">
        <v>94</v>
      </c>
      <c r="AJ232" s="17" t="s">
        <v>94</v>
      </c>
      <c r="AK232" s="17" t="s">
        <v>95</v>
      </c>
      <c r="AL232" s="17" t="s">
        <v>86</v>
      </c>
      <c r="AM232" s="17" t="s">
        <v>94</v>
      </c>
      <c r="AN232" s="17" t="s">
        <v>2766</v>
      </c>
      <c r="AO232" s="17" t="s">
        <v>98</v>
      </c>
      <c r="AP232" s="17" t="s">
        <v>98</v>
      </c>
      <c r="AQ232" s="17" t="s">
        <v>98</v>
      </c>
      <c r="AR232" s="17" t="s">
        <v>94</v>
      </c>
      <c r="AS232" s="17" t="s">
        <v>2767</v>
      </c>
      <c r="AT232" s="17"/>
      <c r="AU232" s="30" t="s">
        <v>2768</v>
      </c>
      <c r="AV232" s="14">
        <v>3495</v>
      </c>
      <c r="AW232" s="74"/>
      <c r="AX232" s="1"/>
      <c r="AY232" s="17" t="s">
        <v>101</v>
      </c>
    </row>
    <row r="233" spans="1:51" ht="12.75" customHeight="1" x14ac:dyDescent="0.25">
      <c r="A233" s="5">
        <v>232</v>
      </c>
      <c r="B233" s="9">
        <v>232</v>
      </c>
      <c r="C233" s="9" t="s">
        <v>2769</v>
      </c>
      <c r="D233" s="57" t="str">
        <f>HYPERLINK("http://prodenv.dep.state.fl.us/DepNexus/public/electronic-documents/OG_232/facility!search","OG_232_Docs")</f>
        <v>OG_232_Docs</v>
      </c>
      <c r="E233" s="57" t="str">
        <f>HYPERLINK("https://ca.dep.state.fl.us/mapdirect/?focus=oilandgas&amp;zoom=query&amp;querytype=oilandgas&amp;queryvalues=OG_232","OG_232_Map")</f>
        <v>OG_232_Map</v>
      </c>
      <c r="F233" s="1" t="s">
        <v>290</v>
      </c>
      <c r="G233" s="1" t="s">
        <v>79</v>
      </c>
      <c r="H233" s="1" t="s">
        <v>229</v>
      </c>
      <c r="I233" s="1" t="s">
        <v>2770</v>
      </c>
      <c r="J233" s="17" t="s">
        <v>82</v>
      </c>
      <c r="K233" s="17" t="s">
        <v>83</v>
      </c>
      <c r="L233" s="17"/>
      <c r="M233" s="17" t="s">
        <v>101</v>
      </c>
      <c r="N233" s="52" t="s">
        <v>130</v>
      </c>
      <c r="O233" s="17" t="s">
        <v>609</v>
      </c>
      <c r="P233" s="17" t="s">
        <v>86</v>
      </c>
      <c r="Q233" s="81" t="s">
        <v>609</v>
      </c>
      <c r="R233" s="11">
        <v>25.010245000000001</v>
      </c>
      <c r="S233" s="11">
        <v>-81.102535000000003</v>
      </c>
      <c r="T233" s="11" t="s">
        <v>2771</v>
      </c>
      <c r="U233" s="11" t="s">
        <v>2772</v>
      </c>
      <c r="V233" s="17" t="s">
        <v>233</v>
      </c>
      <c r="W233" s="17" t="s">
        <v>110</v>
      </c>
      <c r="X233" s="70">
        <v>32</v>
      </c>
      <c r="Y233" s="70">
        <v>0</v>
      </c>
      <c r="Z233" s="13">
        <v>20177</v>
      </c>
      <c r="AA233" s="13">
        <v>20209</v>
      </c>
      <c r="AB233" s="13">
        <v>20416</v>
      </c>
      <c r="AC233" s="13">
        <v>20416</v>
      </c>
      <c r="AD233" s="86">
        <v>12630</v>
      </c>
      <c r="AE233" s="86">
        <v>12630</v>
      </c>
      <c r="AF233" s="70" t="s">
        <v>2773</v>
      </c>
      <c r="AG233" s="17" t="s">
        <v>2774</v>
      </c>
      <c r="AH233" s="17" t="s">
        <v>2775</v>
      </c>
      <c r="AI233" s="70" t="s">
        <v>2776</v>
      </c>
      <c r="AJ233" s="17" t="s">
        <v>2777</v>
      </c>
      <c r="AK233" s="17" t="s">
        <v>95</v>
      </c>
      <c r="AL233" s="17" t="s">
        <v>2778</v>
      </c>
      <c r="AM233" s="17" t="s">
        <v>94</v>
      </c>
      <c r="AN233" s="17" t="s">
        <v>2779</v>
      </c>
      <c r="AO233" s="17" t="s">
        <v>98</v>
      </c>
      <c r="AP233" s="17" t="s">
        <v>98</v>
      </c>
      <c r="AQ233" s="17" t="s">
        <v>98</v>
      </c>
      <c r="AR233" s="17" t="s">
        <v>94</v>
      </c>
      <c r="AS233" s="17" t="s">
        <v>2780</v>
      </c>
      <c r="AT233" s="17">
        <v>172</v>
      </c>
      <c r="AU233" s="30" t="s">
        <v>2781</v>
      </c>
      <c r="AV233" s="14" t="s">
        <v>2782</v>
      </c>
      <c r="AW233" s="74"/>
      <c r="AX233" s="1"/>
      <c r="AY233" s="17" t="s">
        <v>101</v>
      </c>
    </row>
    <row r="234" spans="1:51" ht="12.75" customHeight="1" x14ac:dyDescent="0.25">
      <c r="A234" s="5">
        <v>233</v>
      </c>
      <c r="B234" s="9">
        <v>233</v>
      </c>
      <c r="C234" s="9" t="s">
        <v>2783</v>
      </c>
      <c r="D234" s="57" t="str">
        <f>HYPERLINK("http://prodenv.dep.state.fl.us/DepNexus/public/electronic-documents/OG_233/facility!search","OG_233_Docs")</f>
        <v>OG_233_Docs</v>
      </c>
      <c r="E234" s="57" t="str">
        <f>HYPERLINK("https://ca.dep.state.fl.us/mapdirect/?focus=oilandgas&amp;zoom=query&amp;querytype=oilandgas&amp;queryvalues=OG_233","OG_233_Map")</f>
        <v>OG_233_Map</v>
      </c>
      <c r="F234" s="1" t="s">
        <v>486</v>
      </c>
      <c r="G234" s="1" t="s">
        <v>79</v>
      </c>
      <c r="H234" s="1" t="s">
        <v>2784</v>
      </c>
      <c r="I234" s="1" t="s">
        <v>2785</v>
      </c>
      <c r="J234" s="17" t="s">
        <v>82</v>
      </c>
      <c r="K234" s="17" t="s">
        <v>83</v>
      </c>
      <c r="L234" s="17"/>
      <c r="M234" s="17"/>
      <c r="N234" s="52" t="s">
        <v>130</v>
      </c>
      <c r="O234" s="17" t="s">
        <v>86</v>
      </c>
      <c r="P234" s="17" t="s">
        <v>86</v>
      </c>
      <c r="Q234" s="81" t="s">
        <v>2786</v>
      </c>
      <c r="R234" s="11">
        <v>30.556591000000001</v>
      </c>
      <c r="S234" s="11">
        <v>-84.881725000000003</v>
      </c>
      <c r="T234" s="11" t="s">
        <v>2787</v>
      </c>
      <c r="U234" s="11" t="s">
        <v>2788</v>
      </c>
      <c r="V234" s="17" t="s">
        <v>2789</v>
      </c>
      <c r="W234" s="17" t="s">
        <v>110</v>
      </c>
      <c r="X234" s="70">
        <v>245</v>
      </c>
      <c r="Y234" s="70">
        <v>239</v>
      </c>
      <c r="Z234" s="13">
        <v>20184</v>
      </c>
      <c r="AA234" s="13">
        <v>20193</v>
      </c>
      <c r="AB234" s="13">
        <v>20214</v>
      </c>
      <c r="AC234" s="13">
        <v>20214</v>
      </c>
      <c r="AD234" s="86">
        <v>4024</v>
      </c>
      <c r="AE234" s="86">
        <v>4024</v>
      </c>
      <c r="AF234" s="70" t="s">
        <v>2790</v>
      </c>
      <c r="AG234" s="17" t="s">
        <v>2791</v>
      </c>
      <c r="AH234" s="17" t="s">
        <v>94</v>
      </c>
      <c r="AI234" s="70" t="s">
        <v>94</v>
      </c>
      <c r="AJ234" s="17" t="s">
        <v>94</v>
      </c>
      <c r="AK234" s="17" t="s">
        <v>95</v>
      </c>
      <c r="AL234" s="17" t="s">
        <v>94</v>
      </c>
      <c r="AM234" s="17" t="s">
        <v>94</v>
      </c>
      <c r="AN234" s="17" t="s">
        <v>94</v>
      </c>
      <c r="AO234" s="17" t="s">
        <v>98</v>
      </c>
      <c r="AP234" s="17" t="s">
        <v>98</v>
      </c>
      <c r="AQ234" s="17" t="s">
        <v>98</v>
      </c>
      <c r="AR234" s="17" t="s">
        <v>94</v>
      </c>
      <c r="AS234" s="17" t="s">
        <v>2792</v>
      </c>
      <c r="AT234" s="17">
        <v>104</v>
      </c>
      <c r="AU234" s="30" t="s">
        <v>2793</v>
      </c>
      <c r="AV234" s="14">
        <v>3577</v>
      </c>
      <c r="AW234" s="74"/>
      <c r="AX234" s="1"/>
      <c r="AY234" s="17" t="s">
        <v>101</v>
      </c>
    </row>
    <row r="235" spans="1:51" ht="12.75" customHeight="1" x14ac:dyDescent="0.25">
      <c r="A235" s="5">
        <v>234</v>
      </c>
      <c r="B235" s="9">
        <v>234</v>
      </c>
      <c r="C235" s="9" t="s">
        <v>2794</v>
      </c>
      <c r="D235" s="57" t="str">
        <f>HYPERLINK("http://prodenv.dep.state.fl.us/DepNexus/public/electronic-documents/OG_234/facility!search","OG_234_Docs")</f>
        <v>OG_234_Docs</v>
      </c>
      <c r="E235" s="57" t="str">
        <f>HYPERLINK("https://ca.dep.state.fl.us/mapdirect/?focus=oilandgas&amp;zoom=query&amp;querytype=oilandgas&amp;queryvalues=OG_234","OG_234_Map")</f>
        <v>OG_234_Map</v>
      </c>
      <c r="F235" s="1" t="s">
        <v>314</v>
      </c>
      <c r="G235" s="1" t="s">
        <v>79</v>
      </c>
      <c r="H235" s="1" t="s">
        <v>2711</v>
      </c>
      <c r="I235" s="1" t="s">
        <v>2795</v>
      </c>
      <c r="J235" s="17" t="s">
        <v>82</v>
      </c>
      <c r="K235" s="17" t="s">
        <v>83</v>
      </c>
      <c r="L235" s="17"/>
      <c r="M235" s="17" t="s">
        <v>101</v>
      </c>
      <c r="N235" s="52" t="s">
        <v>130</v>
      </c>
      <c r="O235" s="17" t="s">
        <v>86</v>
      </c>
      <c r="P235" s="17" t="s">
        <v>86</v>
      </c>
      <c r="Q235" s="81" t="s">
        <v>2796</v>
      </c>
      <c r="R235" s="11">
        <v>30.878647999999998</v>
      </c>
      <c r="S235" s="11">
        <v>-86.076407000000003</v>
      </c>
      <c r="T235" s="11" t="s">
        <v>2797</v>
      </c>
      <c r="U235" s="11" t="s">
        <v>2798</v>
      </c>
      <c r="V235" s="17" t="s">
        <v>2799</v>
      </c>
      <c r="W235" s="17" t="s">
        <v>110</v>
      </c>
      <c r="X235" s="70">
        <v>303</v>
      </c>
      <c r="Y235" s="70">
        <v>297.66000000000003</v>
      </c>
      <c r="Z235" s="13">
        <v>20184</v>
      </c>
      <c r="AA235" s="13">
        <v>20184</v>
      </c>
      <c r="AB235" s="13">
        <v>20237</v>
      </c>
      <c r="AC235" s="13">
        <v>20237</v>
      </c>
      <c r="AD235" s="86">
        <v>4506</v>
      </c>
      <c r="AE235" s="86">
        <v>4506</v>
      </c>
      <c r="AF235" s="70" t="s">
        <v>94</v>
      </c>
      <c r="AG235" s="23" t="s">
        <v>2800</v>
      </c>
      <c r="AH235" s="23" t="s">
        <v>2801</v>
      </c>
      <c r="AI235" s="71" t="s">
        <v>2802</v>
      </c>
      <c r="AJ235" s="17" t="s">
        <v>94</v>
      </c>
      <c r="AK235" s="17" t="s">
        <v>95</v>
      </c>
      <c r="AL235" s="17" t="s">
        <v>94</v>
      </c>
      <c r="AM235" s="17" t="s">
        <v>94</v>
      </c>
      <c r="AN235" s="17" t="s">
        <v>94</v>
      </c>
      <c r="AO235" s="17" t="s">
        <v>98</v>
      </c>
      <c r="AP235" s="17" t="s">
        <v>98</v>
      </c>
      <c r="AQ235" s="17" t="s">
        <v>98</v>
      </c>
      <c r="AR235" s="17" t="s">
        <v>94</v>
      </c>
      <c r="AS235" s="17" t="s">
        <v>2803</v>
      </c>
      <c r="AT235" s="17"/>
      <c r="AU235" s="30" t="s">
        <v>2804</v>
      </c>
      <c r="AV235" s="14">
        <v>3580</v>
      </c>
      <c r="AW235" s="74"/>
      <c r="AX235" s="1"/>
      <c r="AY235" s="17" t="s">
        <v>101</v>
      </c>
    </row>
    <row r="236" spans="1:51" ht="12.75" customHeight="1" x14ac:dyDescent="0.25">
      <c r="A236" s="5">
        <v>235</v>
      </c>
      <c r="B236" s="9">
        <v>235</v>
      </c>
      <c r="C236" s="9" t="s">
        <v>2805</v>
      </c>
      <c r="D236" s="57" t="str">
        <f>HYPERLINK("http://prodenv.dep.state.fl.us/DepNexus/public/electronic-documents/OG_235/facility!search","OG_235_Docs")</f>
        <v>OG_235_Docs</v>
      </c>
      <c r="E236" s="57" t="str">
        <f>HYPERLINK("https://ca.dep.state.fl.us/mapdirect/?focus=oilandgas&amp;zoom=query&amp;querytype=oilandgas&amp;queryvalues=OG_235","OG_235_Map")</f>
        <v>OG_235_Map</v>
      </c>
      <c r="F236" s="1" t="s">
        <v>665</v>
      </c>
      <c r="G236" s="1" t="s">
        <v>79</v>
      </c>
      <c r="H236" s="1" t="s">
        <v>2806</v>
      </c>
      <c r="I236" s="1" t="s">
        <v>2807</v>
      </c>
      <c r="J236" s="17" t="s">
        <v>82</v>
      </c>
      <c r="K236" s="17" t="s">
        <v>83</v>
      </c>
      <c r="L236" s="17"/>
      <c r="M236" s="17" t="s">
        <v>84</v>
      </c>
      <c r="N236" s="52" t="s">
        <v>2808</v>
      </c>
      <c r="O236" s="17" t="s">
        <v>86</v>
      </c>
      <c r="P236" s="17" t="s">
        <v>86</v>
      </c>
      <c r="Q236" s="81" t="s">
        <v>2809</v>
      </c>
      <c r="R236" s="11">
        <v>26.861075</v>
      </c>
      <c r="S236" s="11">
        <v>-80.420070999999993</v>
      </c>
      <c r="T236" s="11" t="s">
        <v>2810</v>
      </c>
      <c r="U236" s="11" t="s">
        <v>2811</v>
      </c>
      <c r="V236" s="17" t="s">
        <v>352</v>
      </c>
      <c r="W236" s="17" t="s">
        <v>110</v>
      </c>
      <c r="X236" s="70">
        <v>36</v>
      </c>
      <c r="Y236" s="70">
        <v>25</v>
      </c>
      <c r="Z236" s="13">
        <v>20205</v>
      </c>
      <c r="AA236" s="13">
        <v>20268</v>
      </c>
      <c r="AB236" s="13">
        <v>20373</v>
      </c>
      <c r="AC236" s="13">
        <v>20373</v>
      </c>
      <c r="AD236" s="86">
        <v>11031</v>
      </c>
      <c r="AE236" s="86">
        <v>11031</v>
      </c>
      <c r="AF236" s="70" t="s">
        <v>2812</v>
      </c>
      <c r="AG236" s="17" t="s">
        <v>2813</v>
      </c>
      <c r="AH236" s="17" t="s">
        <v>2814</v>
      </c>
      <c r="AI236" s="70" t="s">
        <v>94</v>
      </c>
      <c r="AJ236" s="17" t="s">
        <v>94</v>
      </c>
      <c r="AK236" s="17" t="s">
        <v>95</v>
      </c>
      <c r="AL236" s="17" t="s">
        <v>2815</v>
      </c>
      <c r="AM236" s="17" t="s">
        <v>94</v>
      </c>
      <c r="AN236" s="23" t="s">
        <v>94</v>
      </c>
      <c r="AO236" s="17" t="s">
        <v>98</v>
      </c>
      <c r="AP236" s="17" t="s">
        <v>98</v>
      </c>
      <c r="AQ236" s="17" t="s">
        <v>98</v>
      </c>
      <c r="AR236" s="23" t="s">
        <v>94</v>
      </c>
      <c r="AS236" s="17" t="s">
        <v>2816</v>
      </c>
      <c r="AT236" s="17">
        <v>182</v>
      </c>
      <c r="AU236" s="30" t="s">
        <v>2817</v>
      </c>
      <c r="AV236" s="14">
        <v>3671</v>
      </c>
      <c r="AW236" s="74"/>
      <c r="AX236" s="1"/>
      <c r="AY236" s="17" t="s">
        <v>101</v>
      </c>
    </row>
    <row r="237" spans="1:51" ht="12.75" customHeight="1" x14ac:dyDescent="0.25">
      <c r="A237" s="5">
        <v>236</v>
      </c>
      <c r="B237" s="9">
        <v>236</v>
      </c>
      <c r="C237" s="9" t="s">
        <v>2818</v>
      </c>
      <c r="D237" s="57" t="str">
        <f>HYPERLINK("http://prodenv.dep.state.fl.us/DepNexus/public/electronic-documents/OG_236/facility!search","OG_236_Docs")</f>
        <v>OG_236_Docs</v>
      </c>
      <c r="E237" s="57" t="str">
        <f>HYPERLINK("https://ca.dep.state.fl.us/mapdirect/?focus=oilandgas&amp;zoom=query&amp;querytype=oilandgas&amp;queryvalues=OG_236","OG_236_Map")</f>
        <v>OG_236_Map</v>
      </c>
      <c r="F237" s="1" t="s">
        <v>2819</v>
      </c>
      <c r="G237" s="1" t="s">
        <v>79</v>
      </c>
      <c r="H237" s="1" t="s">
        <v>607</v>
      </c>
      <c r="I237" s="1" t="s">
        <v>2820</v>
      </c>
      <c r="J237" s="17" t="s">
        <v>82</v>
      </c>
      <c r="K237" s="17" t="s">
        <v>83</v>
      </c>
      <c r="L237" s="17"/>
      <c r="M237" s="17" t="s">
        <v>101</v>
      </c>
      <c r="N237" s="52" t="s">
        <v>2821</v>
      </c>
      <c r="O237" s="17" t="s">
        <v>86</v>
      </c>
      <c r="P237" s="17" t="s">
        <v>86</v>
      </c>
      <c r="Q237" s="81" t="s">
        <v>2822</v>
      </c>
      <c r="R237" s="11">
        <v>27.451858999999999</v>
      </c>
      <c r="S237" s="11">
        <v>-82.377297999999996</v>
      </c>
      <c r="T237" s="11" t="s">
        <v>2823</v>
      </c>
      <c r="U237" s="11" t="s">
        <v>2824</v>
      </c>
      <c r="V237" s="17" t="s">
        <v>705</v>
      </c>
      <c r="W237" s="17" t="s">
        <v>110</v>
      </c>
      <c r="X237" s="70">
        <v>69</v>
      </c>
      <c r="Y237" s="70">
        <v>56</v>
      </c>
      <c r="Z237" s="13">
        <v>20220</v>
      </c>
      <c r="AA237" s="13">
        <v>20220</v>
      </c>
      <c r="AB237" s="13">
        <v>20303</v>
      </c>
      <c r="AC237" s="13">
        <v>20303</v>
      </c>
      <c r="AD237" s="86">
        <v>11228</v>
      </c>
      <c r="AE237" s="86">
        <v>11228</v>
      </c>
      <c r="AF237" s="70" t="s">
        <v>598</v>
      </c>
      <c r="AG237" s="17" t="s">
        <v>2825</v>
      </c>
      <c r="AH237" s="17" t="s">
        <v>2594</v>
      </c>
      <c r="AI237" s="70" t="s">
        <v>94</v>
      </c>
      <c r="AJ237" s="17" t="s">
        <v>94</v>
      </c>
      <c r="AK237" s="17" t="s">
        <v>95</v>
      </c>
      <c r="AL237" s="23" t="s">
        <v>2826</v>
      </c>
      <c r="AM237" s="17" t="s">
        <v>94</v>
      </c>
      <c r="AN237" s="23" t="s">
        <v>2827</v>
      </c>
      <c r="AO237" s="17" t="s">
        <v>98</v>
      </c>
      <c r="AP237" s="17" t="s">
        <v>98</v>
      </c>
      <c r="AQ237" s="17" t="s">
        <v>98</v>
      </c>
      <c r="AR237" s="17" t="s">
        <v>94</v>
      </c>
      <c r="AS237" s="23" t="s">
        <v>2828</v>
      </c>
      <c r="AT237" s="17">
        <v>160</v>
      </c>
      <c r="AU237" s="30" t="s">
        <v>2829</v>
      </c>
      <c r="AV237" s="14">
        <v>3612</v>
      </c>
      <c r="AW237" s="74"/>
      <c r="AX237" s="1"/>
      <c r="AY237" s="17" t="s">
        <v>101</v>
      </c>
    </row>
    <row r="238" spans="1:51" ht="12.75" customHeight="1" x14ac:dyDescent="0.25">
      <c r="A238" s="5">
        <v>237</v>
      </c>
      <c r="B238" s="9">
        <v>237</v>
      </c>
      <c r="C238" s="9" t="s">
        <v>2830</v>
      </c>
      <c r="D238" s="57" t="str">
        <f>HYPERLINK("http://prodenv.dep.state.fl.us/DepNexus/public/electronic-documents/OG_237/facility!search","OG_237_Docs")</f>
        <v>OG_237_Docs</v>
      </c>
      <c r="E238" s="57" t="str">
        <f>HYPERLINK("https://ca.dep.state.fl.us/mapdirect/?focus=oilandgas&amp;zoom=query&amp;querytype=oilandgas&amp;queryvalues=OG_237","OG_237_Map")</f>
        <v>OG_237_Map</v>
      </c>
      <c r="F238" s="1" t="s">
        <v>2831</v>
      </c>
      <c r="G238" s="1" t="s">
        <v>79</v>
      </c>
      <c r="H238" s="1" t="s">
        <v>2832</v>
      </c>
      <c r="I238" s="1" t="s">
        <v>2833</v>
      </c>
      <c r="J238" s="17" t="s">
        <v>82</v>
      </c>
      <c r="K238" s="17" t="s">
        <v>83</v>
      </c>
      <c r="L238" s="17"/>
      <c r="M238" s="17" t="s">
        <v>101</v>
      </c>
      <c r="N238" s="52" t="s">
        <v>2834</v>
      </c>
      <c r="O238" s="17" t="s">
        <v>86</v>
      </c>
      <c r="P238" s="17" t="s">
        <v>86</v>
      </c>
      <c r="Q238" s="81" t="s">
        <v>2835</v>
      </c>
      <c r="R238" s="11">
        <v>27.374120000000001</v>
      </c>
      <c r="S238" s="11">
        <v>-80.957701</v>
      </c>
      <c r="T238" s="11" t="s">
        <v>2836</v>
      </c>
      <c r="U238" s="11" t="s">
        <v>2837</v>
      </c>
      <c r="V238" s="17" t="s">
        <v>2838</v>
      </c>
      <c r="W238" s="17" t="s">
        <v>110</v>
      </c>
      <c r="X238" s="70">
        <v>54</v>
      </c>
      <c r="Y238" s="70">
        <v>44</v>
      </c>
      <c r="Z238" s="13">
        <v>20233</v>
      </c>
      <c r="AA238" s="13">
        <v>20250</v>
      </c>
      <c r="AB238" s="13">
        <v>20360</v>
      </c>
      <c r="AC238" s="13">
        <v>20360</v>
      </c>
      <c r="AD238" s="86">
        <v>10838</v>
      </c>
      <c r="AE238" s="86">
        <v>10838</v>
      </c>
      <c r="AF238" s="70" t="s">
        <v>2703</v>
      </c>
      <c r="AG238" s="17" t="s">
        <v>2839</v>
      </c>
      <c r="AH238" s="17" t="s">
        <v>2840</v>
      </c>
      <c r="AI238" s="70" t="s">
        <v>94</v>
      </c>
      <c r="AJ238" s="17" t="s">
        <v>94</v>
      </c>
      <c r="AK238" s="17" t="s">
        <v>95</v>
      </c>
      <c r="AL238" s="17" t="s">
        <v>2841</v>
      </c>
      <c r="AM238" s="17" t="s">
        <v>95</v>
      </c>
      <c r="AN238" s="17" t="s">
        <v>2842</v>
      </c>
      <c r="AO238" s="17" t="s">
        <v>98</v>
      </c>
      <c r="AP238" s="17" t="s">
        <v>98</v>
      </c>
      <c r="AQ238" s="17" t="s">
        <v>98</v>
      </c>
      <c r="AR238" s="23" t="s">
        <v>2842</v>
      </c>
      <c r="AS238" s="17" t="s">
        <v>2843</v>
      </c>
      <c r="AT238" s="17">
        <v>93</v>
      </c>
      <c r="AU238" s="30" t="s">
        <v>2844</v>
      </c>
      <c r="AV238" s="14">
        <v>3739</v>
      </c>
      <c r="AW238" s="74"/>
      <c r="AX238" s="1"/>
      <c r="AY238" s="17" t="s">
        <v>101</v>
      </c>
    </row>
    <row r="239" spans="1:51" ht="12.75" customHeight="1" x14ac:dyDescent="0.25">
      <c r="A239" s="5">
        <v>238</v>
      </c>
      <c r="B239" s="9">
        <v>238</v>
      </c>
      <c r="C239" s="9" t="s">
        <v>2845</v>
      </c>
      <c r="D239" s="57" t="str">
        <f>HYPERLINK("http://prodenv.dep.state.fl.us/DepNexus/public/electronic-documents/OG_238/facility!search","OG_238_Docs")</f>
        <v>OG_238_Docs</v>
      </c>
      <c r="E239" s="57" t="str">
        <f>HYPERLINK("https://ca.dep.state.fl.us/mapdirect/?focus=oilandgas&amp;zoom=query&amp;querytype=oilandgas&amp;queryvalues=OG_238","OG_238_Map")</f>
        <v>OG_238_Map</v>
      </c>
      <c r="F239" s="1" t="s">
        <v>689</v>
      </c>
      <c r="G239" s="1" t="s">
        <v>79</v>
      </c>
      <c r="H239" s="1" t="s">
        <v>1623</v>
      </c>
      <c r="I239" s="1" t="s">
        <v>2846</v>
      </c>
      <c r="J239" s="17" t="s">
        <v>82</v>
      </c>
      <c r="K239" s="17" t="s">
        <v>83</v>
      </c>
      <c r="L239" s="17"/>
      <c r="M239" s="17"/>
      <c r="N239" s="52" t="s">
        <v>130</v>
      </c>
      <c r="O239" s="17" t="s">
        <v>86</v>
      </c>
      <c r="P239" s="17" t="s">
        <v>86</v>
      </c>
      <c r="Q239" s="81" t="s">
        <v>2847</v>
      </c>
      <c r="R239" s="11">
        <v>29.530608999999998</v>
      </c>
      <c r="S239" s="11">
        <v>-82.470955000000004</v>
      </c>
      <c r="T239" s="11" t="s">
        <v>2848</v>
      </c>
      <c r="U239" s="11" t="s">
        <v>2849</v>
      </c>
      <c r="V239" s="17" t="s">
        <v>320</v>
      </c>
      <c r="W239" s="17" t="s">
        <v>110</v>
      </c>
      <c r="X239" s="70">
        <v>77</v>
      </c>
      <c r="Y239" s="70">
        <v>67</v>
      </c>
      <c r="Z239" s="13">
        <v>20254</v>
      </c>
      <c r="AA239" s="13">
        <v>20272</v>
      </c>
      <c r="AB239" s="13">
        <v>20328</v>
      </c>
      <c r="AC239" s="13">
        <v>20328</v>
      </c>
      <c r="AD239" s="86">
        <v>3527</v>
      </c>
      <c r="AE239" s="86">
        <v>3527</v>
      </c>
      <c r="AF239" s="70" t="s">
        <v>2850</v>
      </c>
      <c r="AG239" s="17" t="s">
        <v>2851</v>
      </c>
      <c r="AH239" s="17" t="s">
        <v>94</v>
      </c>
      <c r="AI239" s="70" t="s">
        <v>94</v>
      </c>
      <c r="AJ239" s="17" t="s">
        <v>94</v>
      </c>
      <c r="AK239" s="17" t="s">
        <v>95</v>
      </c>
      <c r="AL239" s="17" t="s">
        <v>86</v>
      </c>
      <c r="AM239" s="17" t="s">
        <v>94</v>
      </c>
      <c r="AN239" s="17" t="s">
        <v>94</v>
      </c>
      <c r="AO239" s="17" t="s">
        <v>98</v>
      </c>
      <c r="AP239" s="17" t="s">
        <v>98</v>
      </c>
      <c r="AQ239" s="17" t="s">
        <v>98</v>
      </c>
      <c r="AR239" s="17" t="s">
        <v>94</v>
      </c>
      <c r="AS239" s="17" t="s">
        <v>2852</v>
      </c>
      <c r="AT239" s="17">
        <v>95</v>
      </c>
      <c r="AU239" s="30" t="s">
        <v>2853</v>
      </c>
      <c r="AV239" s="14">
        <v>3634</v>
      </c>
      <c r="AW239" s="74"/>
      <c r="AX239" s="1"/>
      <c r="AY239" s="17" t="s">
        <v>101</v>
      </c>
    </row>
    <row r="240" spans="1:51" ht="12.75" customHeight="1" x14ac:dyDescent="0.25">
      <c r="A240" s="5">
        <v>239</v>
      </c>
      <c r="B240" s="9">
        <v>239</v>
      </c>
      <c r="C240" s="9" t="s">
        <v>2854</v>
      </c>
      <c r="D240" s="57" t="str">
        <f>HYPERLINK("http://prodenv.dep.state.fl.us/DepNexus/public/electronic-documents/OG_239/facility!search","OG_239_Docs")</f>
        <v>OG_239_Docs</v>
      </c>
      <c r="E240" s="57" t="str">
        <f>HYPERLINK("https://ca.dep.state.fl.us/mapdirect/?focus=oilandgas&amp;zoom=query&amp;querytype=oilandgas&amp;queryvalues=OG_239","OG_239_Map")</f>
        <v>OG_239_Map</v>
      </c>
      <c r="F240" s="1" t="s">
        <v>1263</v>
      </c>
      <c r="G240" s="1" t="s">
        <v>79</v>
      </c>
      <c r="H240" s="1" t="s">
        <v>2711</v>
      </c>
      <c r="I240" s="1" t="s">
        <v>2855</v>
      </c>
      <c r="J240" s="17" t="s">
        <v>82</v>
      </c>
      <c r="K240" s="17" t="s">
        <v>83</v>
      </c>
      <c r="L240" s="17"/>
      <c r="M240" s="17"/>
      <c r="N240" s="52" t="s">
        <v>130</v>
      </c>
      <c r="O240" s="17" t="s">
        <v>86</v>
      </c>
      <c r="P240" s="17" t="s">
        <v>86</v>
      </c>
      <c r="Q240" s="81" t="s">
        <v>2856</v>
      </c>
      <c r="R240" s="11">
        <v>30.838616999999999</v>
      </c>
      <c r="S240" s="11">
        <v>-85.484337999999994</v>
      </c>
      <c r="T240" s="11" t="s">
        <v>2857</v>
      </c>
      <c r="U240" s="11" t="s">
        <v>2858</v>
      </c>
      <c r="V240" s="17" t="s">
        <v>2659</v>
      </c>
      <c r="W240" s="17" t="s">
        <v>110</v>
      </c>
      <c r="X240" s="70">
        <v>136</v>
      </c>
      <c r="Y240" s="70">
        <v>130.6</v>
      </c>
      <c r="Z240" s="13">
        <v>20254</v>
      </c>
      <c r="AA240" s="13">
        <v>20241</v>
      </c>
      <c r="AB240" s="13">
        <v>20253</v>
      </c>
      <c r="AC240" s="13">
        <v>20253</v>
      </c>
      <c r="AD240" s="86">
        <v>3920</v>
      </c>
      <c r="AE240" s="86">
        <v>3920</v>
      </c>
      <c r="AF240" s="70" t="s">
        <v>94</v>
      </c>
      <c r="AG240" s="17" t="s">
        <v>2859</v>
      </c>
      <c r="AH240" s="17" t="s">
        <v>94</v>
      </c>
      <c r="AI240" s="70" t="s">
        <v>94</v>
      </c>
      <c r="AJ240" s="17" t="s">
        <v>94</v>
      </c>
      <c r="AK240" s="17" t="s">
        <v>95</v>
      </c>
      <c r="AL240" s="17" t="s">
        <v>86</v>
      </c>
      <c r="AM240" s="17" t="s">
        <v>94</v>
      </c>
      <c r="AN240" s="17" t="s">
        <v>94</v>
      </c>
      <c r="AO240" s="17" t="s">
        <v>98</v>
      </c>
      <c r="AP240" s="17" t="s">
        <v>98</v>
      </c>
      <c r="AQ240" s="17" t="s">
        <v>98</v>
      </c>
      <c r="AR240" s="17" t="s">
        <v>94</v>
      </c>
      <c r="AS240" s="17" t="s">
        <v>2860</v>
      </c>
      <c r="AT240" s="17"/>
      <c r="AU240" s="30" t="s">
        <v>2861</v>
      </c>
      <c r="AV240" s="14">
        <v>3565</v>
      </c>
      <c r="AW240" s="74"/>
      <c r="AX240" s="1"/>
      <c r="AY240" s="17" t="s">
        <v>101</v>
      </c>
    </row>
    <row r="241" spans="1:51" ht="12.75" customHeight="1" x14ac:dyDescent="0.25">
      <c r="A241" s="5">
        <v>240</v>
      </c>
      <c r="B241" s="9">
        <v>240</v>
      </c>
      <c r="C241" s="9" t="s">
        <v>2862</v>
      </c>
      <c r="D241" s="57" t="str">
        <f>HYPERLINK("http://prodenv.dep.state.fl.us/DepNexus/public/electronic-documents/OG_240/facility!search","OG_240_Docs")</f>
        <v>OG_240_Docs</v>
      </c>
      <c r="E241" s="57" t="str">
        <f>HYPERLINK("https://ca.dep.state.fl.us/mapdirect/?focus=oilandgas&amp;zoom=query&amp;querytype=oilandgas&amp;queryvalues=OG_240","OG_240_Map")</f>
        <v>OG_240_Map</v>
      </c>
      <c r="F241" s="1" t="s">
        <v>971</v>
      </c>
      <c r="G241" s="1" t="s">
        <v>79</v>
      </c>
      <c r="H241" s="1" t="s">
        <v>2711</v>
      </c>
      <c r="I241" s="1" t="s">
        <v>2863</v>
      </c>
      <c r="J241" s="17" t="s">
        <v>82</v>
      </c>
      <c r="K241" s="17" t="s">
        <v>83</v>
      </c>
      <c r="L241" s="17"/>
      <c r="M241" s="17"/>
      <c r="N241" s="52" t="s">
        <v>130</v>
      </c>
      <c r="O241" s="17" t="s">
        <v>86</v>
      </c>
      <c r="P241" s="17" t="s">
        <v>86</v>
      </c>
      <c r="Q241" s="81" t="s">
        <v>2864</v>
      </c>
      <c r="R241" s="11">
        <v>30.695098999999999</v>
      </c>
      <c r="S241" s="11">
        <v>-85.637257000000005</v>
      </c>
      <c r="T241" s="11" t="s">
        <v>2865</v>
      </c>
      <c r="U241" s="11" t="s">
        <v>2866</v>
      </c>
      <c r="V241" s="17" t="s">
        <v>2659</v>
      </c>
      <c r="W241" s="17" t="s">
        <v>110</v>
      </c>
      <c r="X241" s="70">
        <v>43</v>
      </c>
      <c r="Y241" s="70">
        <v>38</v>
      </c>
      <c r="Z241" s="13">
        <v>20282</v>
      </c>
      <c r="AA241" s="13">
        <v>20254</v>
      </c>
      <c r="AB241" s="13">
        <v>20266</v>
      </c>
      <c r="AC241" s="13">
        <v>20267</v>
      </c>
      <c r="AD241" s="86">
        <v>4170</v>
      </c>
      <c r="AE241" s="86">
        <v>4170</v>
      </c>
      <c r="AF241" s="70" t="s">
        <v>2867</v>
      </c>
      <c r="AG241" s="17" t="s">
        <v>2868</v>
      </c>
      <c r="AH241" s="17" t="s">
        <v>94</v>
      </c>
      <c r="AI241" s="70" t="s">
        <v>94</v>
      </c>
      <c r="AJ241" s="17" t="s">
        <v>94</v>
      </c>
      <c r="AK241" s="17" t="s">
        <v>95</v>
      </c>
      <c r="AL241" s="17" t="s">
        <v>86</v>
      </c>
      <c r="AM241" s="17" t="s">
        <v>94</v>
      </c>
      <c r="AN241" s="17" t="s">
        <v>94</v>
      </c>
      <c r="AO241" s="17" t="s">
        <v>98</v>
      </c>
      <c r="AP241" s="17" t="s">
        <v>98</v>
      </c>
      <c r="AQ241" s="17" t="s">
        <v>98</v>
      </c>
      <c r="AR241" s="17" t="s">
        <v>94</v>
      </c>
      <c r="AS241" s="17" t="s">
        <v>2869</v>
      </c>
      <c r="AT241" s="17"/>
      <c r="AU241" s="30" t="s">
        <v>2870</v>
      </c>
      <c r="AV241" s="14">
        <v>3650</v>
      </c>
      <c r="AW241" s="74"/>
      <c r="AX241" s="1"/>
      <c r="AY241" s="17" t="s">
        <v>101</v>
      </c>
    </row>
    <row r="242" spans="1:51" ht="12.75" customHeight="1" x14ac:dyDescent="0.25">
      <c r="A242" s="5">
        <v>241</v>
      </c>
      <c r="B242" s="9">
        <v>241</v>
      </c>
      <c r="C242" s="9" t="s">
        <v>2871</v>
      </c>
      <c r="D242" s="57" t="str">
        <f>HYPERLINK("http://prodenv.dep.state.fl.us/DepNexus/public/electronic-documents/OG_241/facility!search","OG_241_Docs")</f>
        <v>OG_241_Docs</v>
      </c>
      <c r="E242" s="57" t="str">
        <f>HYPERLINK("https://ca.dep.state.fl.us/mapdirect/?focus=oilandgas&amp;zoom=query&amp;querytype=oilandgas&amp;queryvalues=OG_241","OG_241_Map")</f>
        <v>OG_241_Map</v>
      </c>
      <c r="F242" s="1" t="s">
        <v>1263</v>
      </c>
      <c r="G242" s="1" t="s">
        <v>79</v>
      </c>
      <c r="H242" s="1" t="s">
        <v>2711</v>
      </c>
      <c r="I242" s="1" t="s">
        <v>2872</v>
      </c>
      <c r="J242" s="17" t="s">
        <v>82</v>
      </c>
      <c r="K242" s="17" t="s">
        <v>83</v>
      </c>
      <c r="L242" s="17"/>
      <c r="M242" s="17"/>
      <c r="N242" s="52" t="s">
        <v>130</v>
      </c>
      <c r="O242" s="17" t="s">
        <v>86</v>
      </c>
      <c r="P242" s="17" t="s">
        <v>86</v>
      </c>
      <c r="Q242" s="81" t="s">
        <v>2873</v>
      </c>
      <c r="R242" s="11">
        <v>30.849153999999999</v>
      </c>
      <c r="S242" s="11">
        <v>-84.995146000000005</v>
      </c>
      <c r="T242" s="11" t="s">
        <v>2874</v>
      </c>
      <c r="U242" s="11" t="s">
        <v>2875</v>
      </c>
      <c r="V242" s="17" t="s">
        <v>2876</v>
      </c>
      <c r="W242" s="17" t="s">
        <v>110</v>
      </c>
      <c r="X242" s="70">
        <v>94.95</v>
      </c>
      <c r="Y242" s="70">
        <v>88.95</v>
      </c>
      <c r="Z242" s="13">
        <v>20282</v>
      </c>
      <c r="AA242" s="13">
        <v>20273</v>
      </c>
      <c r="AB242" s="13">
        <v>20286</v>
      </c>
      <c r="AC242" s="13">
        <v>20286</v>
      </c>
      <c r="AD242" s="86">
        <v>3750</v>
      </c>
      <c r="AE242" s="86">
        <v>3750</v>
      </c>
      <c r="AF242" s="70" t="s">
        <v>2877</v>
      </c>
      <c r="AG242" s="17" t="s">
        <v>2878</v>
      </c>
      <c r="AH242" s="17" t="s">
        <v>94</v>
      </c>
      <c r="AI242" s="70" t="s">
        <v>94</v>
      </c>
      <c r="AJ242" s="17" t="s">
        <v>94</v>
      </c>
      <c r="AK242" s="17" t="s">
        <v>95</v>
      </c>
      <c r="AL242" s="17" t="s">
        <v>86</v>
      </c>
      <c r="AM242" s="17" t="s">
        <v>94</v>
      </c>
      <c r="AN242" s="17" t="s">
        <v>94</v>
      </c>
      <c r="AO242" s="17" t="s">
        <v>98</v>
      </c>
      <c r="AP242" s="17" t="s">
        <v>98</v>
      </c>
      <c r="AQ242" s="17" t="s">
        <v>98</v>
      </c>
      <c r="AR242" s="17" t="s">
        <v>94</v>
      </c>
      <c r="AS242" s="17" t="s">
        <v>2879</v>
      </c>
      <c r="AT242" s="17"/>
      <c r="AU242" s="30" t="s">
        <v>2880</v>
      </c>
      <c r="AV242" s="14">
        <v>3629</v>
      </c>
      <c r="AW242" s="74"/>
      <c r="AX242" s="1"/>
      <c r="AY242" s="17" t="s">
        <v>101</v>
      </c>
    </row>
    <row r="243" spans="1:51" ht="12.75" customHeight="1" x14ac:dyDescent="0.25">
      <c r="A243" s="5">
        <v>242</v>
      </c>
      <c r="B243" s="9">
        <v>242</v>
      </c>
      <c r="C243" s="9" t="s">
        <v>2881</v>
      </c>
      <c r="D243" s="57" t="str">
        <f>HYPERLINK("http://prodenv.dep.state.fl.us/DepNexus/public/electronic-documents/OG_242/facility!search","OG_242_Docs")</f>
        <v>OG_242_Docs</v>
      </c>
      <c r="E243" s="57" t="str">
        <f>HYPERLINK("https://ca.dep.state.fl.us/mapdirect/?focus=oilandgas&amp;zoom=query&amp;querytype=oilandgas&amp;queryvalues=OG_242","OG_242_Map")</f>
        <v>OG_242_Map</v>
      </c>
      <c r="F243" s="1" t="s">
        <v>841</v>
      </c>
      <c r="G243" s="1" t="s">
        <v>79</v>
      </c>
      <c r="H243" s="1" t="s">
        <v>2882</v>
      </c>
      <c r="I243" s="1" t="s">
        <v>2883</v>
      </c>
      <c r="J243" s="17" t="s">
        <v>82</v>
      </c>
      <c r="K243" s="17" t="s">
        <v>83</v>
      </c>
      <c r="L243" s="17"/>
      <c r="M243" s="17"/>
      <c r="N243" s="52" t="s">
        <v>130</v>
      </c>
      <c r="O243" s="17" t="s">
        <v>86</v>
      </c>
      <c r="P243" s="17" t="s">
        <v>86</v>
      </c>
      <c r="Q243" s="81" t="s">
        <v>2884</v>
      </c>
      <c r="R243" s="11">
        <v>30.939654999999998</v>
      </c>
      <c r="S243" s="11">
        <v>-85.969798999999995</v>
      </c>
      <c r="T243" s="11" t="s">
        <v>2885</v>
      </c>
      <c r="U243" s="11" t="s">
        <v>2886</v>
      </c>
      <c r="V243" s="17" t="s">
        <v>2887</v>
      </c>
      <c r="W243" s="17" t="s">
        <v>110</v>
      </c>
      <c r="X243" s="70">
        <v>142</v>
      </c>
      <c r="Y243" s="70">
        <v>138</v>
      </c>
      <c r="Z243" s="13">
        <v>20373</v>
      </c>
      <c r="AA243" s="13">
        <v>20366</v>
      </c>
      <c r="AB243" s="13">
        <v>20411</v>
      </c>
      <c r="AC243" s="13">
        <v>20412</v>
      </c>
      <c r="AD243" s="86">
        <v>4012</v>
      </c>
      <c r="AE243" s="86">
        <v>4012</v>
      </c>
      <c r="AF243" s="70" t="s">
        <v>94</v>
      </c>
      <c r="AG243" s="17" t="s">
        <v>2888</v>
      </c>
      <c r="AH243" s="17" t="s">
        <v>94</v>
      </c>
      <c r="AI243" s="70" t="s">
        <v>94</v>
      </c>
      <c r="AJ243" s="17" t="s">
        <v>94</v>
      </c>
      <c r="AK243" s="17" t="s">
        <v>95</v>
      </c>
      <c r="AL243" s="17" t="s">
        <v>94</v>
      </c>
      <c r="AM243" s="17" t="s">
        <v>94</v>
      </c>
      <c r="AN243" s="17" t="s">
        <v>94</v>
      </c>
      <c r="AO243" s="17" t="s">
        <v>98</v>
      </c>
      <c r="AP243" s="17" t="s">
        <v>98</v>
      </c>
      <c r="AQ243" s="17" t="s">
        <v>98</v>
      </c>
      <c r="AR243" s="17" t="s">
        <v>94</v>
      </c>
      <c r="AS243" s="17" t="s">
        <v>2889</v>
      </c>
      <c r="AT243" s="17"/>
      <c r="AU243" s="30" t="s">
        <v>2890</v>
      </c>
      <c r="AV243" s="14">
        <v>3685</v>
      </c>
      <c r="AW243" s="74"/>
      <c r="AX243" s="1"/>
      <c r="AY243" s="17" t="s">
        <v>101</v>
      </c>
    </row>
    <row r="244" spans="1:51" ht="12.75" customHeight="1" x14ac:dyDescent="0.25">
      <c r="A244" s="5">
        <v>243</v>
      </c>
      <c r="B244" s="9">
        <v>243</v>
      </c>
      <c r="C244" s="9" t="s">
        <v>2891</v>
      </c>
      <c r="D244" s="57" t="str">
        <f>HYPERLINK("http://prodenv.dep.state.fl.us/DepNexus/public/electronic-documents/OG_243/facility!search","OG_243_Docs")</f>
        <v>OG_243_Docs</v>
      </c>
      <c r="E244" s="57" t="str">
        <f>HYPERLINK("https://ca.dep.state.fl.us/mapdirect/?focus=oilandgas&amp;zoom=query&amp;querytype=oilandgas&amp;queryvalues=OG_243","OG_243_Map")</f>
        <v>OG_243_Map</v>
      </c>
      <c r="F244" s="1" t="s">
        <v>2892</v>
      </c>
      <c r="G244" s="1" t="s">
        <v>79</v>
      </c>
      <c r="H244" s="1" t="s">
        <v>2806</v>
      </c>
      <c r="I244" s="1" t="s">
        <v>2893</v>
      </c>
      <c r="J244" s="17" t="s">
        <v>82</v>
      </c>
      <c r="K244" s="17" t="s">
        <v>83</v>
      </c>
      <c r="L244" s="17"/>
      <c r="M244" s="17" t="s">
        <v>101</v>
      </c>
      <c r="N244" s="52" t="s">
        <v>130</v>
      </c>
      <c r="O244" s="17" t="s">
        <v>86</v>
      </c>
      <c r="P244" s="17" t="s">
        <v>86</v>
      </c>
      <c r="Q244" s="81" t="s">
        <v>2894</v>
      </c>
      <c r="R244" s="11">
        <v>27.758744</v>
      </c>
      <c r="S244" s="11">
        <v>-80.842038000000002</v>
      </c>
      <c r="T244" s="11" t="s">
        <v>2895</v>
      </c>
      <c r="U244" s="11" t="s">
        <v>2896</v>
      </c>
      <c r="V244" s="17" t="s">
        <v>2320</v>
      </c>
      <c r="W244" s="17" t="s">
        <v>110</v>
      </c>
      <c r="X244" s="70">
        <v>60</v>
      </c>
      <c r="Y244" s="70">
        <v>49</v>
      </c>
      <c r="Z244" s="13">
        <v>20387</v>
      </c>
      <c r="AA244" s="13">
        <v>20396</v>
      </c>
      <c r="AB244" s="13">
        <v>20460</v>
      </c>
      <c r="AC244" s="13">
        <v>20461</v>
      </c>
      <c r="AD244" s="86">
        <v>9488</v>
      </c>
      <c r="AE244" s="86">
        <v>9488</v>
      </c>
      <c r="AF244" s="70" t="s">
        <v>2703</v>
      </c>
      <c r="AG244" s="17" t="s">
        <v>2897</v>
      </c>
      <c r="AH244" s="17" t="s">
        <v>2898</v>
      </c>
      <c r="AI244" s="70" t="s">
        <v>94</v>
      </c>
      <c r="AJ244" s="17" t="s">
        <v>94</v>
      </c>
      <c r="AK244" s="17" t="s">
        <v>95</v>
      </c>
      <c r="AL244" s="17" t="s">
        <v>2899</v>
      </c>
      <c r="AM244" s="17" t="s">
        <v>95</v>
      </c>
      <c r="AN244" s="17" t="s">
        <v>2900</v>
      </c>
      <c r="AO244" s="17" t="s">
        <v>98</v>
      </c>
      <c r="AP244" s="17" t="s">
        <v>98</v>
      </c>
      <c r="AQ244" s="17" t="s">
        <v>98</v>
      </c>
      <c r="AR244" s="17" t="s">
        <v>94</v>
      </c>
      <c r="AS244" s="17" t="s">
        <v>2901</v>
      </c>
      <c r="AT244" s="17">
        <v>140</v>
      </c>
      <c r="AU244" s="30" t="s">
        <v>2902</v>
      </c>
      <c r="AV244" s="14">
        <v>3783</v>
      </c>
      <c r="AW244" s="74"/>
      <c r="AX244" s="1"/>
      <c r="AY244" s="17" t="s">
        <v>101</v>
      </c>
    </row>
    <row r="245" spans="1:51" ht="12.75" customHeight="1" x14ac:dyDescent="0.25">
      <c r="A245" s="5">
        <v>244</v>
      </c>
      <c r="B245" s="9">
        <v>244</v>
      </c>
      <c r="C245" s="9" t="s">
        <v>2903</v>
      </c>
      <c r="D245" s="57" t="str">
        <f>HYPERLINK("http://prodenv.dep.state.fl.us/DepNexus/public/electronic-documents/OG_244/facility!search","OG_244_Docs")</f>
        <v>OG_244_Docs</v>
      </c>
      <c r="E245" s="57" t="str">
        <f>HYPERLINK("https://ca.dep.state.fl.us/mapdirect/?focus=oilandgas&amp;zoom=query&amp;querytype=oilandgas&amp;queryvalues=OG_244","OG_244_Map")</f>
        <v>OG_244_Map</v>
      </c>
      <c r="F245" s="1" t="s">
        <v>314</v>
      </c>
      <c r="G245" s="1" t="s">
        <v>79</v>
      </c>
      <c r="H245" s="1" t="s">
        <v>128</v>
      </c>
      <c r="I245" s="1" t="s">
        <v>2904</v>
      </c>
      <c r="J245" s="17" t="s">
        <v>82</v>
      </c>
      <c r="K245" s="17" t="s">
        <v>83</v>
      </c>
      <c r="L245" s="17"/>
      <c r="M245" s="17" t="s">
        <v>101</v>
      </c>
      <c r="N245" s="52" t="s">
        <v>130</v>
      </c>
      <c r="O245" s="17" t="s">
        <v>86</v>
      </c>
      <c r="P245" s="17" t="s">
        <v>86</v>
      </c>
      <c r="Q245" s="81" t="s">
        <v>2905</v>
      </c>
      <c r="R245" s="11">
        <v>30.821923000000002</v>
      </c>
      <c r="S245" s="11">
        <v>-86.303998000000007</v>
      </c>
      <c r="T245" s="11" t="s">
        <v>2906</v>
      </c>
      <c r="U245" s="11" t="s">
        <v>2907</v>
      </c>
      <c r="V245" s="17" t="s">
        <v>809</v>
      </c>
      <c r="W245" s="17" t="s">
        <v>110</v>
      </c>
      <c r="X245" s="70">
        <v>244</v>
      </c>
      <c r="Y245" s="70">
        <v>235</v>
      </c>
      <c r="Z245" s="13">
        <v>20443</v>
      </c>
      <c r="AA245" s="13">
        <v>20461</v>
      </c>
      <c r="AB245" s="13">
        <v>20469</v>
      </c>
      <c r="AC245" s="13">
        <v>20470</v>
      </c>
      <c r="AD245" s="86">
        <v>5220</v>
      </c>
      <c r="AE245" s="86">
        <v>5220</v>
      </c>
      <c r="AF245" s="70" t="s">
        <v>2908</v>
      </c>
      <c r="AG245" s="17" t="s">
        <v>2909</v>
      </c>
      <c r="AH245" s="17" t="s">
        <v>94</v>
      </c>
      <c r="AI245" s="70" t="s">
        <v>94</v>
      </c>
      <c r="AJ245" s="17" t="s">
        <v>94</v>
      </c>
      <c r="AK245" s="17" t="s">
        <v>95</v>
      </c>
      <c r="AL245" s="17" t="s">
        <v>94</v>
      </c>
      <c r="AM245" s="17" t="s">
        <v>94</v>
      </c>
      <c r="AN245" s="17" t="s">
        <v>94</v>
      </c>
      <c r="AO245" s="17" t="s">
        <v>98</v>
      </c>
      <c r="AP245" s="17" t="s">
        <v>98</v>
      </c>
      <c r="AQ245" s="17" t="s">
        <v>98</v>
      </c>
      <c r="AR245" s="17" t="s">
        <v>94</v>
      </c>
      <c r="AS245" s="17" t="s">
        <v>2910</v>
      </c>
      <c r="AT245" s="17">
        <v>120</v>
      </c>
      <c r="AU245" s="30" t="s">
        <v>2911</v>
      </c>
      <c r="AV245" s="14">
        <v>3672</v>
      </c>
      <c r="AW245" s="74"/>
      <c r="AX245" s="1"/>
      <c r="AY245" s="17" t="s">
        <v>101</v>
      </c>
    </row>
    <row r="246" spans="1:51" ht="12.75" customHeight="1" x14ac:dyDescent="0.25">
      <c r="A246" s="5">
        <v>245</v>
      </c>
      <c r="B246" s="9">
        <v>245</v>
      </c>
      <c r="C246" s="9" t="s">
        <v>2912</v>
      </c>
      <c r="D246" s="57" t="str">
        <f>HYPERLINK("http://prodenv.dep.state.fl.us/DepNexus/public/electronic-documents/OG_245/facility!search","OG_245_Docs")</f>
        <v>OG_245_Docs</v>
      </c>
      <c r="E246" s="57" t="str">
        <f>HYPERLINK("https://ca.dep.state.fl.us/mapdirect/?focus=oilandgas&amp;zoom=query&amp;querytype=oilandgas&amp;queryvalues=OG_245","OG_245_Map")</f>
        <v>OG_245_Map</v>
      </c>
      <c r="F246" s="1" t="s">
        <v>486</v>
      </c>
      <c r="G246" s="1" t="s">
        <v>79</v>
      </c>
      <c r="H246" s="1" t="s">
        <v>128</v>
      </c>
      <c r="I246" s="1" t="s">
        <v>2913</v>
      </c>
      <c r="J246" s="17" t="s">
        <v>82</v>
      </c>
      <c r="K246" s="17" t="s">
        <v>83</v>
      </c>
      <c r="L246" s="17"/>
      <c r="M246" s="17"/>
      <c r="N246" s="52" t="s">
        <v>130</v>
      </c>
      <c r="O246" s="17" t="s">
        <v>86</v>
      </c>
      <c r="P246" s="17" t="s">
        <v>86</v>
      </c>
      <c r="Q246" s="81" t="s">
        <v>2914</v>
      </c>
      <c r="R246" s="11">
        <v>30.545874999999999</v>
      </c>
      <c r="S246" s="11">
        <v>-84.784039000000007</v>
      </c>
      <c r="T246" s="11" t="s">
        <v>2915</v>
      </c>
      <c r="U246" s="11" t="s">
        <v>2916</v>
      </c>
      <c r="V246" s="17" t="s">
        <v>2917</v>
      </c>
      <c r="W246" s="17" t="s">
        <v>110</v>
      </c>
      <c r="X246" s="70">
        <v>270</v>
      </c>
      <c r="Y246" s="70">
        <v>262</v>
      </c>
      <c r="Z246" s="13">
        <v>20458</v>
      </c>
      <c r="AA246" s="13">
        <v>20473</v>
      </c>
      <c r="AB246" s="13">
        <v>20484</v>
      </c>
      <c r="AC246" s="13">
        <v>20484</v>
      </c>
      <c r="AD246" s="86">
        <v>4218</v>
      </c>
      <c r="AE246" s="86">
        <v>4218</v>
      </c>
      <c r="AF246" s="70" t="s">
        <v>2918</v>
      </c>
      <c r="AG246" s="17" t="s">
        <v>2919</v>
      </c>
      <c r="AH246" s="17" t="s">
        <v>94</v>
      </c>
      <c r="AI246" s="70" t="s">
        <v>94</v>
      </c>
      <c r="AJ246" s="17" t="s">
        <v>94</v>
      </c>
      <c r="AK246" s="17" t="s">
        <v>95</v>
      </c>
      <c r="AL246" s="17" t="s">
        <v>94</v>
      </c>
      <c r="AM246" s="17" t="s">
        <v>94</v>
      </c>
      <c r="AN246" s="17" t="s">
        <v>94</v>
      </c>
      <c r="AO246" s="17" t="s">
        <v>98</v>
      </c>
      <c r="AP246" s="17" t="s">
        <v>98</v>
      </c>
      <c r="AQ246" s="17" t="s">
        <v>98</v>
      </c>
      <c r="AR246" s="17" t="s">
        <v>94</v>
      </c>
      <c r="AS246" s="17" t="s">
        <v>2920</v>
      </c>
      <c r="AT246" s="17">
        <v>110</v>
      </c>
      <c r="AU246" s="30" t="s">
        <v>2921</v>
      </c>
      <c r="AV246" s="14">
        <v>3776</v>
      </c>
      <c r="AW246" s="74"/>
      <c r="AX246" s="1"/>
      <c r="AY246" s="17" t="s">
        <v>101</v>
      </c>
    </row>
    <row r="247" spans="1:51" ht="12.75" customHeight="1" x14ac:dyDescent="0.25">
      <c r="A247" s="5">
        <v>246</v>
      </c>
      <c r="B247" s="9">
        <v>246</v>
      </c>
      <c r="C247" s="9" t="s">
        <v>2922</v>
      </c>
      <c r="D247" s="57" t="str">
        <f>HYPERLINK("http://prodenv.dep.state.fl.us/DepNexus/public/electronic-documents/OG_246/facility!search","OG_246_Docs")</f>
        <v>OG_246_Docs</v>
      </c>
      <c r="E247" s="57" t="str">
        <f>HYPERLINK("https://ca.dep.state.fl.us/mapdirect/?focus=oilandgas&amp;zoom=query&amp;querytype=oilandgas&amp;queryvalues=OG_246","OG_246_Map")</f>
        <v>OG_246_Map</v>
      </c>
      <c r="F247" s="1" t="s">
        <v>151</v>
      </c>
      <c r="G247" s="1" t="s">
        <v>79</v>
      </c>
      <c r="H247" s="1" t="s">
        <v>2882</v>
      </c>
      <c r="I247" s="1" t="s">
        <v>1917</v>
      </c>
      <c r="J247" s="17" t="s">
        <v>82</v>
      </c>
      <c r="K247" s="17" t="s">
        <v>83</v>
      </c>
      <c r="L247" s="17"/>
      <c r="M247" s="17" t="s">
        <v>101</v>
      </c>
      <c r="N247" s="52" t="s">
        <v>130</v>
      </c>
      <c r="O247" s="17" t="s">
        <v>86</v>
      </c>
      <c r="P247" s="17" t="s">
        <v>86</v>
      </c>
      <c r="Q247" s="81" t="s">
        <v>2923</v>
      </c>
      <c r="R247" s="11">
        <v>30.398506000000001</v>
      </c>
      <c r="S247" s="11">
        <v>-85.486470999999995</v>
      </c>
      <c r="T247" s="11" t="s">
        <v>2924</v>
      </c>
      <c r="U247" s="11" t="s">
        <v>2925</v>
      </c>
      <c r="V247" s="17" t="s">
        <v>2926</v>
      </c>
      <c r="W247" s="17" t="s">
        <v>110</v>
      </c>
      <c r="X247" s="70">
        <v>128</v>
      </c>
      <c r="Y247" s="70">
        <v>123</v>
      </c>
      <c r="Z247" s="13">
        <v>20471</v>
      </c>
      <c r="AA247" s="13">
        <v>20453</v>
      </c>
      <c r="AB247" s="13">
        <v>20476</v>
      </c>
      <c r="AC247" s="13">
        <v>20478</v>
      </c>
      <c r="AD247" s="86">
        <v>5000</v>
      </c>
      <c r="AE247" s="86">
        <v>5000</v>
      </c>
      <c r="AF247" s="70" t="s">
        <v>94</v>
      </c>
      <c r="AG247" s="17" t="s">
        <v>2927</v>
      </c>
      <c r="AH247" s="17" t="s">
        <v>94</v>
      </c>
      <c r="AI247" s="70" t="s">
        <v>94</v>
      </c>
      <c r="AJ247" s="17" t="s">
        <v>94</v>
      </c>
      <c r="AK247" s="17" t="s">
        <v>95</v>
      </c>
      <c r="AL247" s="17" t="s">
        <v>94</v>
      </c>
      <c r="AM247" s="17" t="s">
        <v>94</v>
      </c>
      <c r="AN247" s="17" t="s">
        <v>94</v>
      </c>
      <c r="AO247" s="17" t="s">
        <v>98</v>
      </c>
      <c r="AP247" s="17" t="s">
        <v>98</v>
      </c>
      <c r="AQ247" s="17" t="s">
        <v>98</v>
      </c>
      <c r="AR247" s="17" t="s">
        <v>94</v>
      </c>
      <c r="AS247" s="17" t="s">
        <v>2928</v>
      </c>
      <c r="AT247" s="17" t="s">
        <v>94</v>
      </c>
      <c r="AU247" s="30" t="s">
        <v>2929</v>
      </c>
      <c r="AV247" s="14">
        <v>3753</v>
      </c>
      <c r="AW247" s="74"/>
      <c r="AX247" s="1"/>
      <c r="AY247" s="17" t="s">
        <v>101</v>
      </c>
    </row>
    <row r="248" spans="1:51" ht="12.75" customHeight="1" x14ac:dyDescent="0.25">
      <c r="A248" s="5">
        <v>247</v>
      </c>
      <c r="B248" s="9">
        <v>247</v>
      </c>
      <c r="C248" s="9" t="s">
        <v>2930</v>
      </c>
      <c r="D248" s="57" t="str">
        <f>HYPERLINK("http://prodenv.dep.state.fl.us/DepNexus/public/electronic-documents/OG_247/facility!search","OG_247_Docs")</f>
        <v>OG_247_Docs</v>
      </c>
      <c r="E248" s="57" t="str">
        <f>HYPERLINK("https://ca.dep.state.fl.us/mapdirect/?focus=oilandgas&amp;zoom=query&amp;querytype=oilandgas&amp;queryvalues=OG_247","OG_247_Map")</f>
        <v>OG_247_Map</v>
      </c>
      <c r="F248" s="1" t="s">
        <v>1797</v>
      </c>
      <c r="G248" s="1" t="s">
        <v>79</v>
      </c>
      <c r="H248" s="1" t="s">
        <v>2679</v>
      </c>
      <c r="I248" s="1" t="s">
        <v>2931</v>
      </c>
      <c r="J248" s="17" t="s">
        <v>82</v>
      </c>
      <c r="K248" s="17" t="s">
        <v>83</v>
      </c>
      <c r="L248" s="17"/>
      <c r="M248" s="17"/>
      <c r="N248" s="52" t="s">
        <v>130</v>
      </c>
      <c r="O248" s="17" t="s">
        <v>86</v>
      </c>
      <c r="P248" s="17" t="s">
        <v>86</v>
      </c>
      <c r="Q248" s="81" t="s">
        <v>2932</v>
      </c>
      <c r="R248" s="11">
        <v>30.899611</v>
      </c>
      <c r="S248" s="11">
        <v>-87.256913999999995</v>
      </c>
      <c r="T248" s="11" t="s">
        <v>2933</v>
      </c>
      <c r="U248" s="11" t="s">
        <v>2934</v>
      </c>
      <c r="V248" s="17" t="s">
        <v>320</v>
      </c>
      <c r="W248" s="17" t="s">
        <v>110</v>
      </c>
      <c r="X248" s="70">
        <v>90.06</v>
      </c>
      <c r="Y248" s="70">
        <v>82.82</v>
      </c>
      <c r="Z248" s="13">
        <v>20499</v>
      </c>
      <c r="AA248" s="13">
        <v>20496</v>
      </c>
      <c r="AB248" s="13">
        <v>20510</v>
      </c>
      <c r="AC248" s="13">
        <v>20511</v>
      </c>
      <c r="AD248" s="86">
        <v>6825</v>
      </c>
      <c r="AE248" s="86">
        <v>6825</v>
      </c>
      <c r="AF248" s="70" t="s">
        <v>94</v>
      </c>
      <c r="AG248" s="17" t="s">
        <v>2935</v>
      </c>
      <c r="AH248" s="17" t="s">
        <v>94</v>
      </c>
      <c r="AI248" s="70" t="s">
        <v>94</v>
      </c>
      <c r="AJ248" s="17" t="s">
        <v>94</v>
      </c>
      <c r="AK248" s="17" t="s">
        <v>95</v>
      </c>
      <c r="AL248" s="17" t="s">
        <v>2936</v>
      </c>
      <c r="AM248" s="17" t="s">
        <v>94</v>
      </c>
      <c r="AN248" s="17" t="s">
        <v>94</v>
      </c>
      <c r="AO248" s="17" t="s">
        <v>98</v>
      </c>
      <c r="AP248" s="17" t="s">
        <v>98</v>
      </c>
      <c r="AQ248" s="17" t="s">
        <v>98</v>
      </c>
      <c r="AR248" s="17" t="s">
        <v>94</v>
      </c>
      <c r="AS248" s="17" t="s">
        <v>2937</v>
      </c>
      <c r="AT248" s="17"/>
      <c r="AU248" s="30" t="s">
        <v>2938</v>
      </c>
      <c r="AV248" s="14">
        <v>3850</v>
      </c>
      <c r="AW248" s="74"/>
      <c r="AX248" s="1"/>
      <c r="AY248" s="17" t="s">
        <v>101</v>
      </c>
    </row>
    <row r="249" spans="1:51" ht="12.75" customHeight="1" x14ac:dyDescent="0.25">
      <c r="A249" s="5">
        <v>248</v>
      </c>
      <c r="B249" s="9">
        <v>248</v>
      </c>
      <c r="C249" s="9" t="s">
        <v>2939</v>
      </c>
      <c r="D249" s="57" t="str">
        <f>HYPERLINK("http://prodenv.dep.state.fl.us/DepNexus/public/electronic-documents/OG_248/facility!search","OG_248_Docs")</f>
        <v>OG_248_Docs</v>
      </c>
      <c r="E249" s="57" t="str">
        <f>HYPERLINK("https://ca.dep.state.fl.us/mapdirect/?focus=oilandgas&amp;zoom=query&amp;querytype=oilandgas&amp;queryvalues=OG_248","OG_248_Map")</f>
        <v>OG_248_Map</v>
      </c>
      <c r="F249" s="1" t="s">
        <v>162</v>
      </c>
      <c r="G249" s="1" t="s">
        <v>79</v>
      </c>
      <c r="H249" s="1" t="s">
        <v>128</v>
      </c>
      <c r="I249" s="1" t="s">
        <v>2940</v>
      </c>
      <c r="J249" s="17" t="s">
        <v>82</v>
      </c>
      <c r="K249" s="17" t="s">
        <v>82</v>
      </c>
      <c r="L249" s="17"/>
      <c r="M249" s="17"/>
      <c r="N249" s="52" t="s">
        <v>2472</v>
      </c>
      <c r="O249" s="17" t="s">
        <v>86</v>
      </c>
      <c r="P249" s="17" t="s">
        <v>86</v>
      </c>
      <c r="Q249" s="81" t="s">
        <v>2941</v>
      </c>
      <c r="R249" s="11">
        <v>30.487093000000002</v>
      </c>
      <c r="S249" s="11">
        <v>-84.803844999999995</v>
      </c>
      <c r="T249" s="11" t="s">
        <v>2942</v>
      </c>
      <c r="U249" s="11" t="s">
        <v>2943</v>
      </c>
      <c r="V249" s="17" t="s">
        <v>2944</v>
      </c>
      <c r="W249" s="17" t="s">
        <v>110</v>
      </c>
      <c r="X249" s="70">
        <v>206</v>
      </c>
      <c r="Y249" s="70">
        <v>202</v>
      </c>
      <c r="Z249" s="13">
        <v>20590</v>
      </c>
      <c r="AA249" s="13">
        <v>20618</v>
      </c>
      <c r="AB249" s="13">
        <v>20659</v>
      </c>
      <c r="AC249" s="13">
        <v>20659</v>
      </c>
      <c r="AD249" s="86">
        <v>4105</v>
      </c>
      <c r="AE249" s="86">
        <v>4105</v>
      </c>
      <c r="AF249" s="70" t="s">
        <v>2945</v>
      </c>
      <c r="AG249" s="17" t="s">
        <v>2946</v>
      </c>
      <c r="AH249" s="17" t="s">
        <v>94</v>
      </c>
      <c r="AI249" s="70" t="s">
        <v>94</v>
      </c>
      <c r="AJ249" s="17" t="s">
        <v>94</v>
      </c>
      <c r="AK249" s="17" t="s">
        <v>95</v>
      </c>
      <c r="AL249" s="17" t="s">
        <v>95</v>
      </c>
      <c r="AM249" s="17" t="s">
        <v>94</v>
      </c>
      <c r="AN249" s="17" t="s">
        <v>2947</v>
      </c>
      <c r="AO249" s="17" t="s">
        <v>98</v>
      </c>
      <c r="AP249" s="17" t="s">
        <v>98</v>
      </c>
      <c r="AQ249" s="17" t="s">
        <v>98</v>
      </c>
      <c r="AR249" s="17" t="s">
        <v>94</v>
      </c>
      <c r="AS249" s="17" t="s">
        <v>2948</v>
      </c>
      <c r="AT249" s="17">
        <v>120</v>
      </c>
      <c r="AU249" s="30" t="s">
        <v>2949</v>
      </c>
      <c r="AV249" s="14">
        <v>3983</v>
      </c>
      <c r="AW249" s="74"/>
      <c r="AX249" s="1"/>
      <c r="AY249" s="17" t="s">
        <v>101</v>
      </c>
    </row>
    <row r="250" spans="1:51" ht="12.75" customHeight="1" x14ac:dyDescent="0.25">
      <c r="A250" s="5">
        <v>249</v>
      </c>
      <c r="B250" s="9">
        <v>249</v>
      </c>
      <c r="C250" s="9" t="s">
        <v>2950</v>
      </c>
      <c r="D250" s="57" t="str">
        <f>HYPERLINK("http://prodenv.dep.state.fl.us/DepNexus/public/electronic-documents/OG_249/facility!search","OG_249_Docs")</f>
        <v>OG_249_Docs</v>
      </c>
      <c r="E250" s="57" t="str">
        <f>HYPERLINK("https://ca.dep.state.fl.us/mapdirect/?focus=oilandgas&amp;zoom=query&amp;querytype=oilandgas&amp;queryvalues=OG_249","OG_249_Map")</f>
        <v>OG_249_Map</v>
      </c>
      <c r="F250" s="1" t="s">
        <v>841</v>
      </c>
      <c r="G250" s="1" t="s">
        <v>79</v>
      </c>
      <c r="H250" s="1" t="s">
        <v>2951</v>
      </c>
      <c r="I250" s="1" t="s">
        <v>2952</v>
      </c>
      <c r="J250" s="17" t="s">
        <v>82</v>
      </c>
      <c r="K250" s="17" t="s">
        <v>83</v>
      </c>
      <c r="L250" s="17"/>
      <c r="M250" s="17"/>
      <c r="N250" s="52" t="s">
        <v>130</v>
      </c>
      <c r="O250" s="17" t="s">
        <v>86</v>
      </c>
      <c r="P250" s="17" t="s">
        <v>86</v>
      </c>
      <c r="Q250" s="81" t="s">
        <v>2953</v>
      </c>
      <c r="R250" s="11">
        <v>30.964858</v>
      </c>
      <c r="S250" s="11">
        <v>-85.931652</v>
      </c>
      <c r="T250" s="11" t="s">
        <v>2954</v>
      </c>
      <c r="U250" s="11" t="s">
        <v>2955</v>
      </c>
      <c r="V250" s="17" t="s">
        <v>809</v>
      </c>
      <c r="W250" s="17" t="s">
        <v>110</v>
      </c>
      <c r="X250" s="70">
        <v>152</v>
      </c>
      <c r="Y250" s="70">
        <v>147.4</v>
      </c>
      <c r="Z250" s="13">
        <v>20611</v>
      </c>
      <c r="AA250" s="13">
        <v>20663</v>
      </c>
      <c r="AB250" s="13">
        <v>20684</v>
      </c>
      <c r="AC250" s="13">
        <v>20684</v>
      </c>
      <c r="AD250" s="86">
        <v>4015</v>
      </c>
      <c r="AE250" s="86">
        <v>4015</v>
      </c>
      <c r="AF250" s="70" t="s">
        <v>2956</v>
      </c>
      <c r="AG250" s="17" t="s">
        <v>2957</v>
      </c>
      <c r="AH250" s="17" t="s">
        <v>94</v>
      </c>
      <c r="AI250" s="70" t="s">
        <v>94</v>
      </c>
      <c r="AJ250" s="17" t="s">
        <v>94</v>
      </c>
      <c r="AK250" s="17" t="s">
        <v>95</v>
      </c>
      <c r="AL250" s="17" t="s">
        <v>94</v>
      </c>
      <c r="AM250" s="17" t="s">
        <v>94</v>
      </c>
      <c r="AN250" s="17" t="s">
        <v>94</v>
      </c>
      <c r="AO250" s="17" t="s">
        <v>98</v>
      </c>
      <c r="AP250" s="17" t="s">
        <v>98</v>
      </c>
      <c r="AQ250" s="17" t="s">
        <v>98</v>
      </c>
      <c r="AR250" s="17" t="s">
        <v>94</v>
      </c>
      <c r="AS250" s="17" t="s">
        <v>2958</v>
      </c>
      <c r="AT250" s="17"/>
      <c r="AU250" s="30" t="s">
        <v>2959</v>
      </c>
      <c r="AV250" s="14">
        <v>4030</v>
      </c>
      <c r="AW250" s="74"/>
      <c r="AX250" s="1"/>
      <c r="AY250" s="17" t="s">
        <v>101</v>
      </c>
    </row>
    <row r="251" spans="1:51" ht="12.75" customHeight="1" x14ac:dyDescent="0.25">
      <c r="A251" s="5">
        <v>250</v>
      </c>
      <c r="B251" s="9">
        <v>250</v>
      </c>
      <c r="C251" s="9" t="s">
        <v>2960</v>
      </c>
      <c r="D251" s="57" t="str">
        <f>HYPERLINK("http://prodenv.dep.state.fl.us/DepNexus/public/electronic-documents/OG_250/facility!search","OG_250_Docs")</f>
        <v>OG_250_Docs</v>
      </c>
      <c r="E251" s="57" t="str">
        <f>HYPERLINK("https://ca.dep.state.fl.us/mapdirect/?focus=oilandgas&amp;zoom=query&amp;querytype=oilandgas&amp;queryvalues=OG_250","OG_250_Map")</f>
        <v>OG_250_Map</v>
      </c>
      <c r="F251" s="1" t="s">
        <v>2026</v>
      </c>
      <c r="G251" s="1" t="s">
        <v>79</v>
      </c>
      <c r="H251" s="1" t="s">
        <v>229</v>
      </c>
      <c r="I251" s="1" t="s">
        <v>2961</v>
      </c>
      <c r="J251" s="17" t="s">
        <v>82</v>
      </c>
      <c r="K251" s="17" t="s">
        <v>83</v>
      </c>
      <c r="L251" s="17" t="s">
        <v>101</v>
      </c>
      <c r="M251" s="17"/>
      <c r="N251" s="52" t="s">
        <v>2962</v>
      </c>
      <c r="O251" s="17" t="s">
        <v>86</v>
      </c>
      <c r="P251" s="17" t="s">
        <v>86</v>
      </c>
      <c r="Q251" s="81" t="s">
        <v>2963</v>
      </c>
      <c r="R251" s="11">
        <v>26.541376</v>
      </c>
      <c r="S251" s="11">
        <v>-81.708523</v>
      </c>
      <c r="T251" s="11" t="s">
        <v>2964</v>
      </c>
      <c r="U251" s="11" t="s">
        <v>2965</v>
      </c>
      <c r="V251" s="17" t="s">
        <v>2966</v>
      </c>
      <c r="W251" s="17" t="s">
        <v>110</v>
      </c>
      <c r="X251" s="70">
        <v>45</v>
      </c>
      <c r="Y251" s="70">
        <v>28</v>
      </c>
      <c r="Z251" s="13">
        <v>20667</v>
      </c>
      <c r="AA251" s="13">
        <v>20672</v>
      </c>
      <c r="AB251" s="13">
        <v>20763</v>
      </c>
      <c r="AC251" s="13">
        <v>20763</v>
      </c>
      <c r="AD251" s="86">
        <v>11800</v>
      </c>
      <c r="AE251" s="86">
        <v>11800</v>
      </c>
      <c r="AF251" s="70" t="s">
        <v>2967</v>
      </c>
      <c r="AG251" s="17" t="s">
        <v>2968</v>
      </c>
      <c r="AH251" s="17" t="s">
        <v>2969</v>
      </c>
      <c r="AI251" s="70" t="s">
        <v>94</v>
      </c>
      <c r="AJ251" s="17" t="s">
        <v>94</v>
      </c>
      <c r="AK251" s="17" t="s">
        <v>95</v>
      </c>
      <c r="AL251" s="17" t="s">
        <v>94</v>
      </c>
      <c r="AM251" s="17" t="s">
        <v>94</v>
      </c>
      <c r="AN251" s="17" t="s">
        <v>2970</v>
      </c>
      <c r="AO251" s="17" t="s">
        <v>2971</v>
      </c>
      <c r="AP251" s="17" t="s">
        <v>94</v>
      </c>
      <c r="AQ251" s="17" t="s">
        <v>94</v>
      </c>
      <c r="AR251" s="17" t="s">
        <v>94</v>
      </c>
      <c r="AS251" s="17" t="s">
        <v>2972</v>
      </c>
      <c r="AT251" s="17"/>
      <c r="AU251" s="30" t="s">
        <v>2973</v>
      </c>
      <c r="AV251" s="14">
        <v>4165</v>
      </c>
      <c r="AW251" s="74"/>
      <c r="AX251" s="1"/>
      <c r="AY251" s="17" t="s">
        <v>101</v>
      </c>
    </row>
    <row r="252" spans="1:51" ht="12.75" customHeight="1" x14ac:dyDescent="0.25">
      <c r="A252" s="5">
        <v>251</v>
      </c>
      <c r="B252" s="9">
        <v>251</v>
      </c>
      <c r="C252" s="9" t="s">
        <v>2974</v>
      </c>
      <c r="D252" s="57" t="str">
        <f>HYPERLINK("http://prodenv.dep.state.fl.us/DepNexus/public/electronic-documents/OG_251/facility!search","OG_251_Docs")</f>
        <v>OG_251_Docs</v>
      </c>
      <c r="E252" s="57" t="str">
        <f>HYPERLINK("https://ca.dep.state.fl.us/mapdirect/?focus=oilandgas&amp;zoom=query&amp;querytype=oilandgas&amp;queryvalues=OG_251","OG_251_Map")</f>
        <v>OG_251_Map</v>
      </c>
      <c r="F252" s="1" t="s">
        <v>1797</v>
      </c>
      <c r="G252" s="1" t="s">
        <v>79</v>
      </c>
      <c r="H252" s="1" t="s">
        <v>176</v>
      </c>
      <c r="I252" s="1" t="s">
        <v>2975</v>
      </c>
      <c r="J252" s="17" t="s">
        <v>82</v>
      </c>
      <c r="K252" s="17" t="s">
        <v>83</v>
      </c>
      <c r="L252" s="17"/>
      <c r="M252" s="17" t="s">
        <v>101</v>
      </c>
      <c r="N252" s="52" t="s">
        <v>130</v>
      </c>
      <c r="O252" s="17" t="s">
        <v>86</v>
      </c>
      <c r="P252" s="17" t="s">
        <v>86</v>
      </c>
      <c r="Q252" s="81" t="s">
        <v>2976</v>
      </c>
      <c r="R252" s="11">
        <v>30.392158999999999</v>
      </c>
      <c r="S252" s="11">
        <v>-87.049244999999999</v>
      </c>
      <c r="T252" s="11" t="s">
        <v>2977</v>
      </c>
      <c r="U252" s="11" t="s">
        <v>2978</v>
      </c>
      <c r="V252" s="17" t="s">
        <v>609</v>
      </c>
      <c r="W252" s="17" t="s">
        <v>110</v>
      </c>
      <c r="X252" s="70"/>
      <c r="Y252" s="70"/>
      <c r="Z252" s="13">
        <v>20681</v>
      </c>
      <c r="AA252" s="13">
        <v>20712</v>
      </c>
      <c r="AB252" s="13">
        <v>20757</v>
      </c>
      <c r="AC252" s="13">
        <v>20757</v>
      </c>
      <c r="AD252" s="86">
        <v>7505</v>
      </c>
      <c r="AE252" s="86">
        <v>7505</v>
      </c>
      <c r="AF252" s="70" t="s">
        <v>2979</v>
      </c>
      <c r="AG252" s="17" t="s">
        <v>2980</v>
      </c>
      <c r="AH252" s="17" t="s">
        <v>2981</v>
      </c>
      <c r="AI252" s="70" t="s">
        <v>94</v>
      </c>
      <c r="AJ252" s="17" t="s">
        <v>94</v>
      </c>
      <c r="AK252" s="17" t="s">
        <v>95</v>
      </c>
      <c r="AL252" s="17" t="s">
        <v>94</v>
      </c>
      <c r="AM252" s="17" t="s">
        <v>94</v>
      </c>
      <c r="AN252" s="17" t="s">
        <v>94</v>
      </c>
      <c r="AO252" s="17" t="s">
        <v>98</v>
      </c>
      <c r="AP252" s="17" t="s">
        <v>98</v>
      </c>
      <c r="AQ252" s="17" t="s">
        <v>98</v>
      </c>
      <c r="AR252" s="17" t="s">
        <v>94</v>
      </c>
      <c r="AS252" s="17" t="s">
        <v>2982</v>
      </c>
      <c r="AT252" s="17">
        <v>157</v>
      </c>
      <c r="AU252" s="30" t="s">
        <v>2983</v>
      </c>
      <c r="AV252" s="14">
        <v>4122</v>
      </c>
      <c r="AW252" s="74"/>
      <c r="AX252" s="1"/>
      <c r="AY252" s="17" t="s">
        <v>101</v>
      </c>
    </row>
    <row r="253" spans="1:51" ht="12.75" customHeight="1" x14ac:dyDescent="0.25">
      <c r="A253" s="5">
        <v>252</v>
      </c>
      <c r="B253" s="9">
        <v>252</v>
      </c>
      <c r="C253" s="9" t="s">
        <v>2984</v>
      </c>
      <c r="D253" s="57" t="str">
        <f>HYPERLINK("http://prodenv.dep.state.fl.us/DepNexus/public/electronic-documents/OG_252/facility!search","OG_252_Docs")</f>
        <v>OG_252_Docs</v>
      </c>
      <c r="E253" s="57" t="str">
        <f>HYPERLINK("https://ca.dep.state.fl.us/mapdirect/?focus=oilandgas&amp;zoom=query&amp;querytype=oilandgas&amp;queryvalues=OG_252","OG_252_Map")</f>
        <v>OG_252_Map</v>
      </c>
      <c r="F253" s="1" t="s">
        <v>1682</v>
      </c>
      <c r="G253" s="1" t="s">
        <v>79</v>
      </c>
      <c r="H253" s="1" t="s">
        <v>2985</v>
      </c>
      <c r="I253" s="1" t="s">
        <v>2986</v>
      </c>
      <c r="J253" s="17" t="s">
        <v>82</v>
      </c>
      <c r="K253" s="17" t="s">
        <v>83</v>
      </c>
      <c r="L253" s="17"/>
      <c r="M253" s="17"/>
      <c r="N253" s="52" t="s">
        <v>130</v>
      </c>
      <c r="O253" s="17" t="s">
        <v>86</v>
      </c>
      <c r="P253" s="17" t="s">
        <v>86</v>
      </c>
      <c r="Q253" s="81" t="s">
        <v>2987</v>
      </c>
      <c r="R253" s="11">
        <v>30.974229000000001</v>
      </c>
      <c r="S253" s="11">
        <v>-87.387441999999993</v>
      </c>
      <c r="T253" s="11" t="s">
        <v>2988</v>
      </c>
      <c r="U253" s="11" t="s">
        <v>2989</v>
      </c>
      <c r="V253" s="17" t="s">
        <v>2990</v>
      </c>
      <c r="W253" s="17" t="s">
        <v>110</v>
      </c>
      <c r="X253" s="70">
        <v>179</v>
      </c>
      <c r="Y253" s="70">
        <v>169</v>
      </c>
      <c r="Z253" s="13">
        <v>20702</v>
      </c>
      <c r="AA253" s="13">
        <v>20701</v>
      </c>
      <c r="AB253" s="13">
        <v>20718</v>
      </c>
      <c r="AC253" s="13">
        <v>20718</v>
      </c>
      <c r="AD253" s="86">
        <v>6867</v>
      </c>
      <c r="AE253" s="86">
        <v>6867</v>
      </c>
      <c r="AF253" s="70" t="s">
        <v>94</v>
      </c>
      <c r="AG253" s="17" t="s">
        <v>2991</v>
      </c>
      <c r="AH253" s="17" t="s">
        <v>94</v>
      </c>
      <c r="AI253" s="70" t="s">
        <v>94</v>
      </c>
      <c r="AJ253" s="17" t="s">
        <v>94</v>
      </c>
      <c r="AK253" s="17" t="s">
        <v>95</v>
      </c>
      <c r="AL253" s="17" t="s">
        <v>94</v>
      </c>
      <c r="AM253" s="17" t="s">
        <v>94</v>
      </c>
      <c r="AN253" s="17" t="s">
        <v>94</v>
      </c>
      <c r="AO253" s="17" t="s">
        <v>98</v>
      </c>
      <c r="AP253" s="17" t="s">
        <v>98</v>
      </c>
      <c r="AQ253" s="17" t="s">
        <v>98</v>
      </c>
      <c r="AR253" s="17" t="s">
        <v>94</v>
      </c>
      <c r="AS253" s="17" t="s">
        <v>2992</v>
      </c>
      <c r="AT253" s="17"/>
      <c r="AU253" s="30" t="s">
        <v>2993</v>
      </c>
      <c r="AV253" s="14">
        <v>4150</v>
      </c>
      <c r="AW253" s="74"/>
      <c r="AX253" s="1"/>
      <c r="AY253" s="17" t="s">
        <v>101</v>
      </c>
    </row>
    <row r="254" spans="1:51" ht="12.75" customHeight="1" x14ac:dyDescent="0.25">
      <c r="A254" s="5">
        <v>253</v>
      </c>
      <c r="B254" s="9">
        <v>253</v>
      </c>
      <c r="C254" s="9" t="s">
        <v>2994</v>
      </c>
      <c r="D254" s="57" t="str">
        <f>HYPERLINK("http://prodenv.dep.state.fl.us/DepNexus/public/electronic-documents/OG_253/facility!search","OG_253_Docs")</f>
        <v>OG_253_Docs</v>
      </c>
      <c r="E254" s="57" t="str">
        <f>HYPERLINK("https://ca.dep.state.fl.us/mapdirect/?focus=oilandgas&amp;zoom=query&amp;querytype=oilandgas&amp;queryvalues=OG_253","OG_253_Map")</f>
        <v>OG_253_Map</v>
      </c>
      <c r="F254" s="1" t="s">
        <v>1682</v>
      </c>
      <c r="G254" s="1" t="s">
        <v>79</v>
      </c>
      <c r="H254" s="1" t="s">
        <v>2995</v>
      </c>
      <c r="I254" s="1" t="s">
        <v>2996</v>
      </c>
      <c r="J254" s="17" t="s">
        <v>82</v>
      </c>
      <c r="K254" s="17" t="s">
        <v>83</v>
      </c>
      <c r="L254" s="17"/>
      <c r="M254" s="17" t="s">
        <v>101</v>
      </c>
      <c r="N254" s="52" t="s">
        <v>130</v>
      </c>
      <c r="O254" s="17" t="s">
        <v>86</v>
      </c>
      <c r="P254" s="17" t="s">
        <v>86</v>
      </c>
      <c r="Q254" s="81" t="s">
        <v>2997</v>
      </c>
      <c r="R254" s="11">
        <v>30.408761999999999</v>
      </c>
      <c r="S254" s="11">
        <v>-87.378518999999997</v>
      </c>
      <c r="T254" s="11" t="s">
        <v>2998</v>
      </c>
      <c r="U254" s="11" t="s">
        <v>2999</v>
      </c>
      <c r="V254" s="17" t="s">
        <v>3000</v>
      </c>
      <c r="W254" s="17" t="s">
        <v>110</v>
      </c>
      <c r="X254" s="70">
        <v>14</v>
      </c>
      <c r="Y254" s="70">
        <v>5</v>
      </c>
      <c r="Z254" s="13">
        <v>20716</v>
      </c>
      <c r="AA254" s="13">
        <v>20720</v>
      </c>
      <c r="AB254" s="13">
        <v>20748</v>
      </c>
      <c r="AC254" s="13">
        <v>20748</v>
      </c>
      <c r="AD254" s="86">
        <v>6244</v>
      </c>
      <c r="AE254" s="86">
        <v>6244</v>
      </c>
      <c r="AF254" s="70" t="s">
        <v>3001</v>
      </c>
      <c r="AG254" s="17" t="s">
        <v>3002</v>
      </c>
      <c r="AH254" s="17" t="s">
        <v>94</v>
      </c>
      <c r="AI254" s="70" t="s">
        <v>94</v>
      </c>
      <c r="AJ254" s="17" t="s">
        <v>94</v>
      </c>
      <c r="AK254" s="17" t="s">
        <v>95</v>
      </c>
      <c r="AL254" s="17" t="s">
        <v>94</v>
      </c>
      <c r="AM254" s="17" t="s">
        <v>94</v>
      </c>
      <c r="AN254" s="17" t="s">
        <v>94</v>
      </c>
      <c r="AO254" s="17" t="s">
        <v>98</v>
      </c>
      <c r="AP254" s="17" t="s">
        <v>98</v>
      </c>
      <c r="AQ254" s="17" t="s">
        <v>98</v>
      </c>
      <c r="AR254" s="17" t="s">
        <v>94</v>
      </c>
      <c r="AS254" s="17" t="s">
        <v>3003</v>
      </c>
      <c r="AT254" s="17">
        <v>146</v>
      </c>
      <c r="AU254" s="30" t="s">
        <v>3004</v>
      </c>
      <c r="AV254" s="14">
        <v>4091</v>
      </c>
      <c r="AW254" s="74"/>
      <c r="AX254" s="1"/>
      <c r="AY254" s="17" t="s">
        <v>101</v>
      </c>
    </row>
    <row r="255" spans="1:51" ht="12.75" customHeight="1" x14ac:dyDescent="0.25">
      <c r="A255" s="5">
        <v>254</v>
      </c>
      <c r="B255" s="9">
        <v>254</v>
      </c>
      <c r="C255" s="9" t="s">
        <v>3005</v>
      </c>
      <c r="D255" s="57" t="str">
        <f>HYPERLINK("http://prodenv.dep.state.fl.us/DepNexus/public/electronic-documents/OG_254/facility!search","OG_254_Docs")</f>
        <v>OG_254_Docs</v>
      </c>
      <c r="E255" s="57" t="str">
        <f>HYPERLINK("https://ca.dep.state.fl.us/mapdirect/?focus=oilandgas&amp;zoom=query&amp;querytype=oilandgas&amp;queryvalues=OG_254","OG_254_Map")</f>
        <v>OG_254_Map</v>
      </c>
      <c r="F255" s="1" t="s">
        <v>3006</v>
      </c>
      <c r="G255" s="1" t="s">
        <v>79</v>
      </c>
      <c r="H255" s="1" t="s">
        <v>2806</v>
      </c>
      <c r="I255" s="1" t="s">
        <v>3007</v>
      </c>
      <c r="J255" s="17" t="s">
        <v>82</v>
      </c>
      <c r="K255" s="17" t="s">
        <v>83</v>
      </c>
      <c r="L255" s="17"/>
      <c r="M255" s="17" t="s">
        <v>101</v>
      </c>
      <c r="N255" s="52" t="s">
        <v>2808</v>
      </c>
      <c r="O255" s="17" t="s">
        <v>86</v>
      </c>
      <c r="P255" s="17" t="s">
        <v>86</v>
      </c>
      <c r="Q255" s="81" t="s">
        <v>3008</v>
      </c>
      <c r="R255" s="11">
        <v>27.336096999999999</v>
      </c>
      <c r="S255" s="11">
        <v>-80.368506999999994</v>
      </c>
      <c r="T255" s="11" t="s">
        <v>3009</v>
      </c>
      <c r="U255" s="11" t="s">
        <v>3010</v>
      </c>
      <c r="V255" s="17" t="s">
        <v>835</v>
      </c>
      <c r="W255" s="17" t="s">
        <v>110</v>
      </c>
      <c r="X255" s="70">
        <v>31</v>
      </c>
      <c r="Y255" s="70">
        <v>14</v>
      </c>
      <c r="Z255" s="13">
        <v>20716</v>
      </c>
      <c r="AA255" s="13">
        <v>20727</v>
      </c>
      <c r="AB255" s="13">
        <v>20838</v>
      </c>
      <c r="AC255" s="13">
        <v>20838</v>
      </c>
      <c r="AD255" s="86">
        <v>5474</v>
      </c>
      <c r="AE255" s="86">
        <v>5474</v>
      </c>
      <c r="AF255" s="70" t="s">
        <v>3011</v>
      </c>
      <c r="AG255" s="17" t="s">
        <v>3012</v>
      </c>
      <c r="AH255" s="17" t="s">
        <v>3013</v>
      </c>
      <c r="AI255" s="70" t="s">
        <v>3014</v>
      </c>
      <c r="AJ255" s="17" t="s">
        <v>94</v>
      </c>
      <c r="AK255" s="17" t="s">
        <v>95</v>
      </c>
      <c r="AL255" s="17" t="s">
        <v>3015</v>
      </c>
      <c r="AM255" s="17" t="s">
        <v>94</v>
      </c>
      <c r="AN255" s="17" t="s">
        <v>86</v>
      </c>
      <c r="AO255" s="17" t="s">
        <v>98</v>
      </c>
      <c r="AP255" s="17" t="s">
        <v>98</v>
      </c>
      <c r="AQ255" s="17" t="s">
        <v>98</v>
      </c>
      <c r="AR255" s="17" t="s">
        <v>94</v>
      </c>
      <c r="AS255" s="17" t="s">
        <v>3016</v>
      </c>
      <c r="AT255" s="17">
        <v>125</v>
      </c>
      <c r="AU255" s="30" t="s">
        <v>3017</v>
      </c>
      <c r="AV255" s="14">
        <v>4086</v>
      </c>
      <c r="AW255" s="74"/>
      <c r="AX255" s="1"/>
      <c r="AY255" s="17" t="s">
        <v>101</v>
      </c>
    </row>
    <row r="256" spans="1:51" ht="12.75" customHeight="1" x14ac:dyDescent="0.25">
      <c r="A256" s="5">
        <v>255</v>
      </c>
      <c r="B256" s="9">
        <v>255</v>
      </c>
      <c r="C256" s="9" t="s">
        <v>3018</v>
      </c>
      <c r="D256" s="57" t="str">
        <f>HYPERLINK("http://prodenv.dep.state.fl.us/DepNexus/public/electronic-documents/OG_255/facility!search","OG_255_Docs")</f>
        <v>OG_255_Docs</v>
      </c>
      <c r="E256" s="57" t="str">
        <f>HYPERLINK("https://ca.dep.state.fl.us/mapdirect/?focus=oilandgas&amp;zoom=query&amp;querytype=oilandgas&amp;queryvalues=OG_255","OG_255_Map")</f>
        <v>OG_255_Map</v>
      </c>
      <c r="F256" s="1" t="s">
        <v>1797</v>
      </c>
      <c r="G256" s="1" t="s">
        <v>79</v>
      </c>
      <c r="H256" s="1" t="s">
        <v>2679</v>
      </c>
      <c r="I256" s="1" t="s">
        <v>3019</v>
      </c>
      <c r="J256" s="17" t="s">
        <v>82</v>
      </c>
      <c r="K256" s="17" t="s">
        <v>83</v>
      </c>
      <c r="L256" s="17"/>
      <c r="M256" s="17"/>
      <c r="N256" s="52" t="s">
        <v>130</v>
      </c>
      <c r="O256" s="17" t="s">
        <v>86</v>
      </c>
      <c r="P256" s="17" t="s">
        <v>86</v>
      </c>
      <c r="Q256" s="81" t="s">
        <v>3020</v>
      </c>
      <c r="R256" s="11">
        <v>30.884815</v>
      </c>
      <c r="S256" s="11">
        <v>-87.249138000000002</v>
      </c>
      <c r="T256" s="11" t="s">
        <v>3021</v>
      </c>
      <c r="U256" s="11" t="s">
        <v>3022</v>
      </c>
      <c r="V256" s="17" t="s">
        <v>2751</v>
      </c>
      <c r="W256" s="17" t="s">
        <v>110</v>
      </c>
      <c r="X256" s="70">
        <v>186</v>
      </c>
      <c r="Y256" s="70"/>
      <c r="Z256" s="13">
        <v>20716</v>
      </c>
      <c r="AA256" s="13">
        <v>20720</v>
      </c>
      <c r="AB256" s="13">
        <v>20740</v>
      </c>
      <c r="AC256" s="13">
        <v>20740</v>
      </c>
      <c r="AD256" s="86">
        <v>6948</v>
      </c>
      <c r="AE256" s="86">
        <v>6948</v>
      </c>
      <c r="AF256" s="70" t="s">
        <v>94</v>
      </c>
      <c r="AG256" s="17" t="s">
        <v>3023</v>
      </c>
      <c r="AH256" s="17" t="s">
        <v>94</v>
      </c>
      <c r="AI256" s="70" t="s">
        <v>94</v>
      </c>
      <c r="AJ256" s="17" t="s">
        <v>94</v>
      </c>
      <c r="AK256" s="17" t="s">
        <v>95</v>
      </c>
      <c r="AL256" s="17" t="s">
        <v>94</v>
      </c>
      <c r="AM256" s="17" t="s">
        <v>94</v>
      </c>
      <c r="AN256" s="17" t="s">
        <v>94</v>
      </c>
      <c r="AO256" s="17" t="s">
        <v>98</v>
      </c>
      <c r="AP256" s="17" t="s">
        <v>98</v>
      </c>
      <c r="AQ256" s="17" t="s">
        <v>98</v>
      </c>
      <c r="AR256" s="17" t="s">
        <v>94</v>
      </c>
      <c r="AS256" s="17" t="s">
        <v>3024</v>
      </c>
      <c r="AT256" s="17"/>
      <c r="AU256" s="30" t="s">
        <v>3025</v>
      </c>
      <c r="AV256" s="14">
        <v>4152</v>
      </c>
      <c r="AW256" s="74"/>
      <c r="AX256" s="1"/>
      <c r="AY256" s="17" t="s">
        <v>101</v>
      </c>
    </row>
    <row r="257" spans="1:51" ht="12.75" customHeight="1" x14ac:dyDescent="0.25">
      <c r="A257" s="5">
        <v>256</v>
      </c>
      <c r="B257" s="9">
        <v>256</v>
      </c>
      <c r="C257" s="9" t="s">
        <v>3026</v>
      </c>
      <c r="D257" s="57" t="str">
        <f>HYPERLINK("http://prodenv.dep.state.fl.us/DepNexus/public/electronic-documents/OG_256/facility!search","OG_256_Docs")</f>
        <v>OG_256_Docs</v>
      </c>
      <c r="E257" s="57" t="str">
        <f>HYPERLINK("https://ca.dep.state.fl.us/mapdirect/?focus=oilandgas&amp;zoom=query&amp;querytype=oilandgas&amp;queryvalues=OG_256","OG_256_Map")</f>
        <v>OG_256_Map</v>
      </c>
      <c r="F257" s="1" t="s">
        <v>1682</v>
      </c>
      <c r="G257" s="1" t="s">
        <v>79</v>
      </c>
      <c r="H257" s="1" t="s">
        <v>3027</v>
      </c>
      <c r="I257" s="1" t="s">
        <v>3028</v>
      </c>
      <c r="J257" s="17" t="s">
        <v>82</v>
      </c>
      <c r="K257" s="17" t="s">
        <v>83</v>
      </c>
      <c r="L257" s="17" t="s">
        <v>101</v>
      </c>
      <c r="M257" s="17" t="s">
        <v>101</v>
      </c>
      <c r="N257" s="52" t="s">
        <v>3029</v>
      </c>
      <c r="O257" s="17" t="s">
        <v>86</v>
      </c>
      <c r="P257" s="17" t="s">
        <v>86</v>
      </c>
      <c r="Q257" s="81" t="s">
        <v>3030</v>
      </c>
      <c r="R257" s="11">
        <v>30.376919000000001</v>
      </c>
      <c r="S257" s="11">
        <v>-87.345457999999994</v>
      </c>
      <c r="T257" s="11" t="s">
        <v>3031</v>
      </c>
      <c r="U257" s="11" t="s">
        <v>3032</v>
      </c>
      <c r="V257" s="17" t="s">
        <v>3033</v>
      </c>
      <c r="W257" s="17" t="s">
        <v>110</v>
      </c>
      <c r="X257" s="70">
        <v>33.1</v>
      </c>
      <c r="Y257" s="70">
        <v>23.1</v>
      </c>
      <c r="Z257" s="13">
        <v>20751</v>
      </c>
      <c r="AA257" s="13">
        <v>20751</v>
      </c>
      <c r="AB257" s="13">
        <v>20810</v>
      </c>
      <c r="AC257" s="13">
        <v>20811</v>
      </c>
      <c r="AD257" s="86">
        <v>12515</v>
      </c>
      <c r="AE257" s="86">
        <v>12515</v>
      </c>
      <c r="AF257" s="70" t="s">
        <v>3034</v>
      </c>
      <c r="AG257" s="17" t="s">
        <v>3035</v>
      </c>
      <c r="AH257" s="17" t="s">
        <v>94</v>
      </c>
      <c r="AI257" s="70" t="s">
        <v>94</v>
      </c>
      <c r="AJ257" s="17" t="s">
        <v>94</v>
      </c>
      <c r="AK257" s="17" t="s">
        <v>95</v>
      </c>
      <c r="AL257" s="17" t="s">
        <v>94</v>
      </c>
      <c r="AM257" s="17" t="s">
        <v>94</v>
      </c>
      <c r="AN257" s="17" t="s">
        <v>94</v>
      </c>
      <c r="AO257" s="17" t="s">
        <v>98</v>
      </c>
      <c r="AP257" s="17" t="s">
        <v>98</v>
      </c>
      <c r="AQ257" s="17" t="s">
        <v>98</v>
      </c>
      <c r="AR257" s="17" t="s">
        <v>94</v>
      </c>
      <c r="AS257" s="17" t="s">
        <v>3036</v>
      </c>
      <c r="AT257" s="17">
        <v>222</v>
      </c>
      <c r="AU257" s="30" t="s">
        <v>3037</v>
      </c>
      <c r="AV257" s="14">
        <v>4161</v>
      </c>
      <c r="AW257" s="74"/>
      <c r="AX257" s="1"/>
      <c r="AY257" s="17" t="s">
        <v>101</v>
      </c>
    </row>
    <row r="258" spans="1:51" ht="12.75" customHeight="1" x14ac:dyDescent="0.25">
      <c r="A258" s="5">
        <v>257</v>
      </c>
      <c r="B258" s="9">
        <v>257</v>
      </c>
      <c r="C258" s="9" t="s">
        <v>3038</v>
      </c>
      <c r="D258" s="57" t="str">
        <f>HYPERLINK("http://prodenv.dep.state.fl.us/DepNexus/public/electronic-documents/OG_257/facility!search","OG_257_Docs")</f>
        <v>OG_257_Docs</v>
      </c>
      <c r="E258" s="57" t="str">
        <f>HYPERLINK("https://ca.dep.state.fl.us/mapdirect/?focus=oilandgas&amp;zoom=query&amp;querytype=oilandgas&amp;queryvalues=OG_257","OG_257_Map")</f>
        <v>OG_257_Map</v>
      </c>
      <c r="F258" s="1" t="s">
        <v>151</v>
      </c>
      <c r="G258" s="1" t="s">
        <v>79</v>
      </c>
      <c r="H258" s="1" t="s">
        <v>3039</v>
      </c>
      <c r="I258" s="1" t="s">
        <v>3040</v>
      </c>
      <c r="J258" s="17" t="s">
        <v>82</v>
      </c>
      <c r="K258" s="17" t="s">
        <v>83</v>
      </c>
      <c r="L258" s="17"/>
      <c r="M258" s="17" t="s">
        <v>101</v>
      </c>
      <c r="N258" s="52" t="s">
        <v>130</v>
      </c>
      <c r="O258" s="17" t="s">
        <v>86</v>
      </c>
      <c r="P258" s="17" t="s">
        <v>86</v>
      </c>
      <c r="Q258" s="81" t="s">
        <v>3041</v>
      </c>
      <c r="R258" s="11">
        <v>30.442132999999998</v>
      </c>
      <c r="S258" s="11">
        <v>-85.485639000000006</v>
      </c>
      <c r="T258" s="11" t="s">
        <v>3042</v>
      </c>
      <c r="U258" s="11" t="s">
        <v>3043</v>
      </c>
      <c r="V258" s="17" t="s">
        <v>246</v>
      </c>
      <c r="W258" s="17" t="s">
        <v>110</v>
      </c>
      <c r="X258" s="70">
        <v>130</v>
      </c>
      <c r="Y258" s="70">
        <v>126</v>
      </c>
      <c r="Z258" s="13">
        <v>20823</v>
      </c>
      <c r="AA258" s="13">
        <v>20821</v>
      </c>
      <c r="AB258" s="13">
        <v>20845</v>
      </c>
      <c r="AC258" s="13">
        <v>20845</v>
      </c>
      <c r="AD258" s="86">
        <v>4610</v>
      </c>
      <c r="AE258" s="86">
        <v>4610</v>
      </c>
      <c r="AF258" s="70" t="s">
        <v>3044</v>
      </c>
      <c r="AG258" s="17" t="s">
        <v>3045</v>
      </c>
      <c r="AH258" s="17" t="s">
        <v>94</v>
      </c>
      <c r="AI258" s="70" t="s">
        <v>94</v>
      </c>
      <c r="AJ258" s="17" t="s">
        <v>94</v>
      </c>
      <c r="AK258" s="17" t="s">
        <v>95</v>
      </c>
      <c r="AL258" s="17" t="s">
        <v>94</v>
      </c>
      <c r="AM258" s="17" t="s">
        <v>94</v>
      </c>
      <c r="AN258" s="17" t="s">
        <v>94</v>
      </c>
      <c r="AO258" s="17" t="s">
        <v>98</v>
      </c>
      <c r="AP258" s="17" t="s">
        <v>98</v>
      </c>
      <c r="AQ258" s="17" t="s">
        <v>98</v>
      </c>
      <c r="AR258" s="17" t="s">
        <v>94</v>
      </c>
      <c r="AS258" s="17" t="s">
        <v>3046</v>
      </c>
      <c r="AT258" s="17">
        <v>120</v>
      </c>
      <c r="AU258" s="30" t="s">
        <v>3047</v>
      </c>
      <c r="AV258" s="14">
        <v>4178</v>
      </c>
      <c r="AW258" s="74"/>
      <c r="AX258" s="1"/>
      <c r="AY258" s="17" t="s">
        <v>101</v>
      </c>
    </row>
    <row r="259" spans="1:51" ht="12.75" customHeight="1" x14ac:dyDescent="0.25">
      <c r="A259" s="5">
        <v>258</v>
      </c>
      <c r="B259" s="9">
        <v>258</v>
      </c>
      <c r="C259" s="9" t="s">
        <v>3048</v>
      </c>
      <c r="D259" s="57" t="str">
        <f>HYPERLINK("http://prodenv.dep.state.fl.us/DepNexus/public/electronic-documents/OG_258/facility!search","OG_258_Docs")</f>
        <v>OG_258_Docs</v>
      </c>
      <c r="E259" s="57" t="str">
        <f>HYPERLINK("https://ca.dep.state.fl.us/mapdirect/?focus=oilandgas&amp;zoom=query&amp;querytype=oilandgas&amp;queryvalues=OG_258","OG_258_Map")</f>
        <v>OG_258_Map</v>
      </c>
      <c r="F259" s="1" t="s">
        <v>829</v>
      </c>
      <c r="G259" s="1" t="s">
        <v>79</v>
      </c>
      <c r="H259" s="1" t="s">
        <v>3039</v>
      </c>
      <c r="I259" s="1" t="s">
        <v>1926</v>
      </c>
      <c r="J259" s="17" t="s">
        <v>82</v>
      </c>
      <c r="K259" s="17" t="s">
        <v>83</v>
      </c>
      <c r="L259" s="17"/>
      <c r="M259" s="17" t="s">
        <v>101</v>
      </c>
      <c r="N259" s="52" t="s">
        <v>130</v>
      </c>
      <c r="O259" s="17" t="s">
        <v>86</v>
      </c>
      <c r="P259" s="17" t="s">
        <v>86</v>
      </c>
      <c r="Q259" s="81" t="s">
        <v>3049</v>
      </c>
      <c r="R259" s="11">
        <v>30.766100999999999</v>
      </c>
      <c r="S259" s="11">
        <v>-86.422849999999997</v>
      </c>
      <c r="T259" s="11" t="s">
        <v>3050</v>
      </c>
      <c r="U259" s="11" t="s">
        <v>3051</v>
      </c>
      <c r="V259" s="17" t="s">
        <v>320</v>
      </c>
      <c r="W259" s="17" t="s">
        <v>110</v>
      </c>
      <c r="X259" s="70">
        <v>173</v>
      </c>
      <c r="Y259" s="70">
        <v>168</v>
      </c>
      <c r="Z259" s="13">
        <v>20844</v>
      </c>
      <c r="AA259" s="13">
        <v>20849</v>
      </c>
      <c r="AB259" s="13">
        <v>20870</v>
      </c>
      <c r="AC259" s="13">
        <v>20871</v>
      </c>
      <c r="AD259" s="86">
        <v>5501</v>
      </c>
      <c r="AE259" s="86">
        <v>5501</v>
      </c>
      <c r="AF259" s="70" t="s">
        <v>1481</v>
      </c>
      <c r="AG259" s="17" t="s">
        <v>3052</v>
      </c>
      <c r="AH259" s="17" t="s">
        <v>94</v>
      </c>
      <c r="AI259" s="70" t="s">
        <v>94</v>
      </c>
      <c r="AJ259" s="17" t="s">
        <v>94</v>
      </c>
      <c r="AK259" s="17" t="s">
        <v>95</v>
      </c>
      <c r="AL259" s="17" t="s">
        <v>94</v>
      </c>
      <c r="AM259" s="17" t="s">
        <v>94</v>
      </c>
      <c r="AN259" s="17" t="s">
        <v>94</v>
      </c>
      <c r="AO259" s="17" t="s">
        <v>98</v>
      </c>
      <c r="AP259" s="17" t="s">
        <v>98</v>
      </c>
      <c r="AQ259" s="17" t="s">
        <v>98</v>
      </c>
      <c r="AR259" s="17" t="s">
        <v>94</v>
      </c>
      <c r="AS259" s="17" t="s">
        <v>3053</v>
      </c>
      <c r="AT259" s="17">
        <v>126</v>
      </c>
      <c r="AU259" s="30" t="s">
        <v>3054</v>
      </c>
      <c r="AV259" s="14">
        <v>4201</v>
      </c>
      <c r="AW259" s="74"/>
      <c r="AX259" s="1"/>
      <c r="AY259" s="17" t="s">
        <v>101</v>
      </c>
    </row>
    <row r="260" spans="1:51" ht="12.75" customHeight="1" x14ac:dyDescent="0.25">
      <c r="A260" s="5">
        <v>259</v>
      </c>
      <c r="B260" s="9">
        <v>259</v>
      </c>
      <c r="C260" s="9" t="s">
        <v>3055</v>
      </c>
      <c r="D260" s="57" t="str">
        <f>HYPERLINK("http://prodenv.dep.state.fl.us/DepNexus/public/electronic-documents/OG_259/facility!search","OG_259_Docs")</f>
        <v>OG_259_Docs</v>
      </c>
      <c r="E260" s="57" t="str">
        <f>HYPERLINK("https://ca.dep.state.fl.us/mapdirect/?focus=oilandgas&amp;zoom=query&amp;querytype=oilandgas&amp;queryvalues=OG_259","OG_259_Map")</f>
        <v>OG_259_Map</v>
      </c>
      <c r="F260" s="1" t="s">
        <v>3006</v>
      </c>
      <c r="G260" s="1" t="s">
        <v>79</v>
      </c>
      <c r="H260" s="1" t="s">
        <v>2806</v>
      </c>
      <c r="I260" s="1" t="s">
        <v>3056</v>
      </c>
      <c r="J260" s="17" t="s">
        <v>82</v>
      </c>
      <c r="K260" s="17" t="s">
        <v>83</v>
      </c>
      <c r="L260" s="17"/>
      <c r="M260" s="17" t="s">
        <v>101</v>
      </c>
      <c r="N260" s="52" t="s">
        <v>2808</v>
      </c>
      <c r="O260" s="17" t="s">
        <v>86</v>
      </c>
      <c r="P260" s="17" t="s">
        <v>86</v>
      </c>
      <c r="Q260" s="81" t="s">
        <v>3008</v>
      </c>
      <c r="R260" s="11">
        <v>27.332476</v>
      </c>
      <c r="S260" s="11">
        <v>-80.368448000000001</v>
      </c>
      <c r="T260" s="11" t="s">
        <v>3057</v>
      </c>
      <c r="U260" s="11" t="s">
        <v>3058</v>
      </c>
      <c r="V260" s="17" t="s">
        <v>2044</v>
      </c>
      <c r="W260" s="17" t="s">
        <v>110</v>
      </c>
      <c r="X260" s="70">
        <v>32</v>
      </c>
      <c r="Y260" s="70">
        <v>17.7</v>
      </c>
      <c r="Z260" s="13">
        <v>20844</v>
      </c>
      <c r="AA260" s="13">
        <v>20852</v>
      </c>
      <c r="AB260" s="13">
        <v>21022</v>
      </c>
      <c r="AC260" s="13">
        <v>21022</v>
      </c>
      <c r="AD260" s="86">
        <v>12748</v>
      </c>
      <c r="AE260" s="86">
        <v>12748</v>
      </c>
      <c r="AF260" s="70" t="s">
        <v>3059</v>
      </c>
      <c r="AG260" s="17" t="s">
        <v>3060</v>
      </c>
      <c r="AH260" s="17" t="s">
        <v>3061</v>
      </c>
      <c r="AI260" s="70" t="s">
        <v>3062</v>
      </c>
      <c r="AJ260" s="17" t="s">
        <v>94</v>
      </c>
      <c r="AK260" s="17" t="s">
        <v>95</v>
      </c>
      <c r="AL260" s="17" t="s">
        <v>3063</v>
      </c>
      <c r="AM260" s="17" t="s">
        <v>94</v>
      </c>
      <c r="AN260" s="17" t="s">
        <v>3064</v>
      </c>
      <c r="AO260" s="17" t="s">
        <v>98</v>
      </c>
      <c r="AP260" s="17" t="s">
        <v>98</v>
      </c>
      <c r="AQ260" s="17" t="s">
        <v>98</v>
      </c>
      <c r="AR260" s="17" t="s">
        <v>94</v>
      </c>
      <c r="AS260" s="17" t="s">
        <v>3065</v>
      </c>
      <c r="AT260" s="17">
        <v>140</v>
      </c>
      <c r="AU260" s="30" t="s">
        <v>3066</v>
      </c>
      <c r="AV260" s="14">
        <v>4323</v>
      </c>
      <c r="AW260" s="74"/>
      <c r="AX260" s="1"/>
      <c r="AY260" s="17" t="s">
        <v>101</v>
      </c>
    </row>
    <row r="261" spans="1:51" ht="12.75" customHeight="1" x14ac:dyDescent="0.25">
      <c r="A261" s="5">
        <v>260</v>
      </c>
      <c r="B261" s="9">
        <v>260</v>
      </c>
      <c r="C261" s="9" t="s">
        <v>3067</v>
      </c>
      <c r="D261" s="57" t="str">
        <f>HYPERLINK("http://prodenv.dep.state.fl.us/DepNexus/public/electronic-documents/OG_260/facility!search","OG_260_Docs")</f>
        <v>OG_260_Docs</v>
      </c>
      <c r="E261" s="57" t="str">
        <f>HYPERLINK("https://ca.dep.state.fl.us/mapdirect/?focus=oilandgas&amp;zoom=query&amp;querytype=oilandgas&amp;queryvalues=OG_260","OG_260_Map")</f>
        <v>OG_260_Map</v>
      </c>
      <c r="F261" s="1" t="s">
        <v>841</v>
      </c>
      <c r="G261" s="1" t="s">
        <v>79</v>
      </c>
      <c r="H261" s="1" t="s">
        <v>3039</v>
      </c>
      <c r="I261" s="1" t="s">
        <v>3068</v>
      </c>
      <c r="J261" s="17" t="s">
        <v>82</v>
      </c>
      <c r="K261" s="17" t="s">
        <v>83</v>
      </c>
      <c r="L261" s="17"/>
      <c r="M261" s="17"/>
      <c r="N261" s="52" t="s">
        <v>130</v>
      </c>
      <c r="O261" s="17" t="s">
        <v>86</v>
      </c>
      <c r="P261" s="17" t="s">
        <v>86</v>
      </c>
      <c r="Q261" s="81" t="s">
        <v>3069</v>
      </c>
      <c r="R261" s="11">
        <v>30.988671</v>
      </c>
      <c r="S261" s="11">
        <v>-85.918634999999995</v>
      </c>
      <c r="T261" s="11" t="s">
        <v>3070</v>
      </c>
      <c r="U261" s="11" t="s">
        <v>3071</v>
      </c>
      <c r="V261" s="17" t="s">
        <v>3072</v>
      </c>
      <c r="W261" s="17" t="s">
        <v>110</v>
      </c>
      <c r="X261" s="70">
        <v>187</v>
      </c>
      <c r="Y261" s="70">
        <v>183</v>
      </c>
      <c r="Z261" s="13">
        <v>20877</v>
      </c>
      <c r="AA261" s="13">
        <v>20877</v>
      </c>
      <c r="AB261" s="13">
        <v>20892</v>
      </c>
      <c r="AC261" s="13">
        <v>20893</v>
      </c>
      <c r="AD261" s="86">
        <v>4750</v>
      </c>
      <c r="AE261" s="86">
        <v>4750</v>
      </c>
      <c r="AF261" s="70" t="s">
        <v>94</v>
      </c>
      <c r="AG261" s="17" t="s">
        <v>3073</v>
      </c>
      <c r="AH261" s="17" t="s">
        <v>94</v>
      </c>
      <c r="AI261" s="70" t="s">
        <v>94</v>
      </c>
      <c r="AJ261" s="17" t="s">
        <v>94</v>
      </c>
      <c r="AK261" s="17" t="s">
        <v>95</v>
      </c>
      <c r="AL261" s="17" t="s">
        <v>94</v>
      </c>
      <c r="AM261" s="17" t="s">
        <v>94</v>
      </c>
      <c r="AN261" s="17" t="s">
        <v>94</v>
      </c>
      <c r="AO261" s="17" t="s">
        <v>98</v>
      </c>
      <c r="AP261" s="17" t="s">
        <v>98</v>
      </c>
      <c r="AQ261" s="17" t="s">
        <v>98</v>
      </c>
      <c r="AR261" s="17" t="s">
        <v>94</v>
      </c>
      <c r="AS261" s="17" t="s">
        <v>3074</v>
      </c>
      <c r="AT261" s="17"/>
      <c r="AU261" s="30" t="s">
        <v>3075</v>
      </c>
      <c r="AV261" s="14">
        <v>4239</v>
      </c>
      <c r="AW261" s="74"/>
      <c r="AX261" s="1"/>
      <c r="AY261" s="17" t="s">
        <v>101</v>
      </c>
    </row>
    <row r="262" spans="1:51" ht="12.75" customHeight="1" x14ac:dyDescent="0.25">
      <c r="A262" s="5">
        <v>261</v>
      </c>
      <c r="B262" s="9">
        <v>261</v>
      </c>
      <c r="C262" s="9" t="s">
        <v>3076</v>
      </c>
      <c r="D262" s="57" t="str">
        <f>HYPERLINK("http://prodenv.dep.state.fl.us/DepNexus/public/electronic-documents/OG_261/facility!search","OG_261_Docs")</f>
        <v>OG_261_Docs</v>
      </c>
      <c r="E262" s="57" t="str">
        <f>HYPERLINK("https://ca.dep.state.fl.us/mapdirect/?focus=oilandgas&amp;zoom=query&amp;querytype=oilandgas&amp;queryvalues=OG_261","OG_261_Map")</f>
        <v>OG_261_Map</v>
      </c>
      <c r="F262" s="1" t="s">
        <v>841</v>
      </c>
      <c r="G262" s="1" t="s">
        <v>79</v>
      </c>
      <c r="H262" s="1" t="s">
        <v>3077</v>
      </c>
      <c r="I262" s="1" t="s">
        <v>3078</v>
      </c>
      <c r="J262" s="17" t="s">
        <v>82</v>
      </c>
      <c r="K262" s="17" t="s">
        <v>83</v>
      </c>
      <c r="L262" s="17"/>
      <c r="M262" s="17"/>
      <c r="N262" s="52" t="s">
        <v>130</v>
      </c>
      <c r="O262" s="17" t="s">
        <v>86</v>
      </c>
      <c r="P262" s="17" t="s">
        <v>86</v>
      </c>
      <c r="Q262" s="81" t="s">
        <v>3079</v>
      </c>
      <c r="R262" s="11">
        <v>30.928525</v>
      </c>
      <c r="S262" s="11">
        <v>-85.969998000000004</v>
      </c>
      <c r="T262" s="11" t="s">
        <v>3080</v>
      </c>
      <c r="U262" s="11" t="s">
        <v>3081</v>
      </c>
      <c r="V262" s="17" t="s">
        <v>352</v>
      </c>
      <c r="W262" s="17" t="s">
        <v>110</v>
      </c>
      <c r="X262" s="70">
        <v>159</v>
      </c>
      <c r="Y262" s="70">
        <v>150</v>
      </c>
      <c r="Z262" s="13">
        <v>20884</v>
      </c>
      <c r="AA262" s="13">
        <v>20914</v>
      </c>
      <c r="AB262" s="13">
        <v>21017</v>
      </c>
      <c r="AC262" s="13">
        <v>21018</v>
      </c>
      <c r="AD262" s="86">
        <v>8515</v>
      </c>
      <c r="AE262" s="86">
        <v>8515</v>
      </c>
      <c r="AF262" s="70" t="s">
        <v>3082</v>
      </c>
      <c r="AG262" s="17" t="s">
        <v>94</v>
      </c>
      <c r="AH262" s="17" t="s">
        <v>94</v>
      </c>
      <c r="AI262" s="70" t="s">
        <v>94</v>
      </c>
      <c r="AJ262" s="17" t="s">
        <v>94</v>
      </c>
      <c r="AK262" s="17" t="s">
        <v>95</v>
      </c>
      <c r="AL262" s="17" t="s">
        <v>94</v>
      </c>
      <c r="AM262" s="17" t="s">
        <v>94</v>
      </c>
      <c r="AN262" s="17" t="s">
        <v>94</v>
      </c>
      <c r="AO262" s="17" t="s">
        <v>98</v>
      </c>
      <c r="AP262" s="17" t="s">
        <v>98</v>
      </c>
      <c r="AQ262" s="17" t="s">
        <v>98</v>
      </c>
      <c r="AR262" s="17" t="s">
        <v>94</v>
      </c>
      <c r="AS262" s="17" t="s">
        <v>3083</v>
      </c>
      <c r="AT262" s="17"/>
      <c r="AU262" s="30" t="s">
        <v>3084</v>
      </c>
      <c r="AV262" s="14">
        <v>4347</v>
      </c>
      <c r="AW262" s="74"/>
      <c r="AX262" s="1"/>
      <c r="AY262" s="17" t="s">
        <v>101</v>
      </c>
    </row>
    <row r="263" spans="1:51" ht="12.75" customHeight="1" x14ac:dyDescent="0.25">
      <c r="A263" s="5">
        <v>262</v>
      </c>
      <c r="B263" s="9">
        <v>262</v>
      </c>
      <c r="C263" s="9" t="s">
        <v>3085</v>
      </c>
      <c r="D263" s="57" t="str">
        <f>HYPERLINK("http://prodenv.dep.state.fl.us/DepNexus/public/electronic-documents/OG_262/facility!search","OG_262_Docs")</f>
        <v>OG_262_Docs</v>
      </c>
      <c r="E263" s="57" t="str">
        <f>HYPERLINK("https://ca.dep.state.fl.us/mapdirect/?focus=oilandgas&amp;zoom=query&amp;querytype=oilandgas&amp;queryvalues=OG_262","OG_262_Map")</f>
        <v>OG_262_Map</v>
      </c>
      <c r="F263" s="1" t="s">
        <v>1797</v>
      </c>
      <c r="G263" s="1" t="s">
        <v>79</v>
      </c>
      <c r="H263" s="1" t="s">
        <v>1904</v>
      </c>
      <c r="I263" s="1" t="s">
        <v>3086</v>
      </c>
      <c r="J263" s="17" t="s">
        <v>82</v>
      </c>
      <c r="K263" s="17" t="s">
        <v>83</v>
      </c>
      <c r="L263" s="17"/>
      <c r="M263" s="17" t="s">
        <v>101</v>
      </c>
      <c r="N263" s="52" t="s">
        <v>130</v>
      </c>
      <c r="O263" s="17" t="s">
        <v>86</v>
      </c>
      <c r="P263" s="17" t="s">
        <v>86</v>
      </c>
      <c r="Q263" s="81" t="s">
        <v>3087</v>
      </c>
      <c r="R263" s="11">
        <v>30.650760999999999</v>
      </c>
      <c r="S263" s="11">
        <v>-86.854382000000001</v>
      </c>
      <c r="T263" s="11" t="s">
        <v>3088</v>
      </c>
      <c r="U263" s="11" t="s">
        <v>3089</v>
      </c>
      <c r="V263" s="17" t="s">
        <v>3090</v>
      </c>
      <c r="W263" s="17" t="s">
        <v>110</v>
      </c>
      <c r="X263" s="70"/>
      <c r="Y263" s="70">
        <v>143</v>
      </c>
      <c r="Z263" s="13">
        <v>20884</v>
      </c>
      <c r="AA263" s="13">
        <v>20900</v>
      </c>
      <c r="AB263" s="13">
        <v>20915</v>
      </c>
      <c r="AC263" s="13">
        <v>20915</v>
      </c>
      <c r="AD263" s="86">
        <v>6895</v>
      </c>
      <c r="AE263" s="86">
        <v>6895</v>
      </c>
      <c r="AF263" s="70" t="s">
        <v>3091</v>
      </c>
      <c r="AG263" s="17" t="s">
        <v>3092</v>
      </c>
      <c r="AH263" s="17" t="s">
        <v>94</v>
      </c>
      <c r="AI263" s="70" t="s">
        <v>94</v>
      </c>
      <c r="AJ263" s="17" t="s">
        <v>94</v>
      </c>
      <c r="AK263" s="17" t="s">
        <v>95</v>
      </c>
      <c r="AL263" s="17" t="s">
        <v>3093</v>
      </c>
      <c r="AM263" s="17" t="s">
        <v>94</v>
      </c>
      <c r="AN263" s="17" t="s">
        <v>94</v>
      </c>
      <c r="AO263" s="17" t="s">
        <v>98</v>
      </c>
      <c r="AP263" s="17" t="s">
        <v>98</v>
      </c>
      <c r="AQ263" s="17" t="s">
        <v>98</v>
      </c>
      <c r="AR263" s="17" t="s">
        <v>94</v>
      </c>
      <c r="AS263" s="17" t="s">
        <v>3094</v>
      </c>
      <c r="AT263" s="17">
        <v>145</v>
      </c>
      <c r="AU263" s="30" t="s">
        <v>3095</v>
      </c>
      <c r="AV263" s="14">
        <v>4248</v>
      </c>
      <c r="AW263" s="74"/>
      <c r="AX263" s="1"/>
      <c r="AY263" s="17" t="s">
        <v>101</v>
      </c>
    </row>
    <row r="264" spans="1:51" ht="12.75" customHeight="1" x14ac:dyDescent="0.25">
      <c r="A264" s="5">
        <v>263</v>
      </c>
      <c r="B264" s="9">
        <v>263</v>
      </c>
      <c r="C264" s="9" t="s">
        <v>3096</v>
      </c>
      <c r="D264" s="57" t="str">
        <f>HYPERLINK("http://prodenv.dep.state.fl.us/DepNexus/public/electronic-documents/OG_263/facility!search","OG_263_Docs")</f>
        <v>OG_263_Docs</v>
      </c>
      <c r="E264" s="57" t="str">
        <f>HYPERLINK("https://ca.dep.state.fl.us/mapdirect/?focus=oilandgas&amp;zoom=query&amp;querytype=oilandgas&amp;queryvalues=OG_263","OG_263_Map")</f>
        <v>OG_263_Map</v>
      </c>
      <c r="F264" s="1" t="s">
        <v>1682</v>
      </c>
      <c r="G264" s="1" t="s">
        <v>79</v>
      </c>
      <c r="H264" s="1" t="s">
        <v>3097</v>
      </c>
      <c r="I264" s="1" t="s">
        <v>3098</v>
      </c>
      <c r="J264" s="17" t="s">
        <v>82</v>
      </c>
      <c r="K264" s="17" t="s">
        <v>83</v>
      </c>
      <c r="L264" s="17"/>
      <c r="M264" s="17"/>
      <c r="N264" s="52" t="s">
        <v>86</v>
      </c>
      <c r="O264" s="17" t="s">
        <v>86</v>
      </c>
      <c r="P264" s="17" t="s">
        <v>86</v>
      </c>
      <c r="Q264" s="81" t="s">
        <v>3099</v>
      </c>
      <c r="R264" s="11">
        <v>30.979230000000001</v>
      </c>
      <c r="S264" s="11">
        <v>-87.281428000000005</v>
      </c>
      <c r="T264" s="11" t="s">
        <v>3100</v>
      </c>
      <c r="U264" s="11" t="s">
        <v>3101</v>
      </c>
      <c r="V264" s="17" t="s">
        <v>1145</v>
      </c>
      <c r="W264" s="17" t="s">
        <v>110</v>
      </c>
      <c r="X264" s="70">
        <v>96</v>
      </c>
      <c r="Y264" s="70"/>
      <c r="Z264" s="13">
        <v>20926</v>
      </c>
      <c r="AA264" s="13">
        <v>20924</v>
      </c>
      <c r="AB264" s="13">
        <v>20941</v>
      </c>
      <c r="AC264" s="13">
        <v>20941</v>
      </c>
      <c r="AD264" s="86">
        <v>6900</v>
      </c>
      <c r="AE264" s="86">
        <v>6900</v>
      </c>
      <c r="AF264" s="70" t="s">
        <v>94</v>
      </c>
      <c r="AG264" s="17" t="s">
        <v>3073</v>
      </c>
      <c r="AH264" s="17" t="s">
        <v>94</v>
      </c>
      <c r="AI264" s="70" t="s">
        <v>94</v>
      </c>
      <c r="AJ264" s="17" t="s">
        <v>94</v>
      </c>
      <c r="AK264" s="17" t="s">
        <v>95</v>
      </c>
      <c r="AL264" s="17" t="s">
        <v>94</v>
      </c>
      <c r="AM264" s="17" t="s">
        <v>94</v>
      </c>
      <c r="AN264" s="17" t="s">
        <v>94</v>
      </c>
      <c r="AO264" s="17" t="s">
        <v>98</v>
      </c>
      <c r="AP264" s="17" t="s">
        <v>98</v>
      </c>
      <c r="AQ264" s="17" t="s">
        <v>98</v>
      </c>
      <c r="AR264" s="17" t="s">
        <v>94</v>
      </c>
      <c r="AS264" s="17" t="s">
        <v>3102</v>
      </c>
      <c r="AT264" s="17"/>
      <c r="AU264" s="30" t="s">
        <v>3103</v>
      </c>
      <c r="AV264" s="14">
        <v>4312</v>
      </c>
      <c r="AW264" s="74"/>
      <c r="AX264" s="1"/>
      <c r="AY264" s="17" t="s">
        <v>101</v>
      </c>
    </row>
    <row r="265" spans="1:51" ht="12.75" customHeight="1" x14ac:dyDescent="0.25">
      <c r="A265" s="5">
        <v>264</v>
      </c>
      <c r="B265" s="9">
        <v>264</v>
      </c>
      <c r="C265" s="9" t="s">
        <v>3104</v>
      </c>
      <c r="D265" s="57" t="str">
        <f>HYPERLINK("http://prodenv.dep.state.fl.us/DepNexus/public/electronic-documents/OG_264/facility!search","OG_264_Docs")</f>
        <v>OG_264_Docs</v>
      </c>
      <c r="E265" s="57" t="str">
        <f>HYPERLINK("https://ca.dep.state.fl.us/mapdirect/?focus=oilandgas&amp;zoom=query&amp;querytype=oilandgas&amp;queryvalues=OG_264","OG_264_Map")</f>
        <v>OG_264_Map</v>
      </c>
      <c r="F265" s="1" t="s">
        <v>1682</v>
      </c>
      <c r="G265" s="1" t="s">
        <v>79</v>
      </c>
      <c r="H265" s="1" t="s">
        <v>3097</v>
      </c>
      <c r="I265" s="1" t="s">
        <v>3105</v>
      </c>
      <c r="J265" s="17" t="s">
        <v>207</v>
      </c>
      <c r="K265" s="17" t="s">
        <v>208</v>
      </c>
      <c r="L265" s="17"/>
      <c r="M265" s="17" t="s">
        <v>207</v>
      </c>
      <c r="N265" s="52" t="s">
        <v>86</v>
      </c>
      <c r="O265" s="17" t="s">
        <v>86</v>
      </c>
      <c r="P265" s="17" t="s">
        <v>86</v>
      </c>
      <c r="Q265" s="81" t="s">
        <v>3106</v>
      </c>
      <c r="R265" s="11">
        <v>30.660167999999999</v>
      </c>
      <c r="S265" s="11">
        <v>-87.299764999999994</v>
      </c>
      <c r="T265" s="11" t="s">
        <v>3107</v>
      </c>
      <c r="U265" s="11" t="s">
        <v>3108</v>
      </c>
      <c r="V265" s="17" t="s">
        <v>3109</v>
      </c>
      <c r="W265" s="17" t="s">
        <v>110</v>
      </c>
      <c r="X265" s="70"/>
      <c r="Y265" s="70"/>
      <c r="Z265" s="13">
        <v>20940</v>
      </c>
      <c r="AA265" s="13"/>
      <c r="AB265" s="13"/>
      <c r="AC265" s="13"/>
      <c r="AD265" s="86"/>
      <c r="AE265" s="70"/>
      <c r="AF265" s="70" t="s">
        <v>207</v>
      </c>
      <c r="AG265" s="17" t="s">
        <v>207</v>
      </c>
      <c r="AH265" s="17" t="s">
        <v>207</v>
      </c>
      <c r="AI265" s="70" t="s">
        <v>207</v>
      </c>
      <c r="AJ265" s="17" t="s">
        <v>207</v>
      </c>
      <c r="AK265" s="17" t="s">
        <v>207</v>
      </c>
      <c r="AL265" s="17" t="s">
        <v>207</v>
      </c>
      <c r="AM265" s="17" t="s">
        <v>207</v>
      </c>
      <c r="AN265" s="17" t="s">
        <v>207</v>
      </c>
      <c r="AO265" s="17" t="s">
        <v>207</v>
      </c>
      <c r="AP265" s="17" t="s">
        <v>207</v>
      </c>
      <c r="AQ265" s="17" t="s">
        <v>207</v>
      </c>
      <c r="AR265" s="17" t="s">
        <v>207</v>
      </c>
      <c r="AS265" s="17" t="s">
        <v>207</v>
      </c>
      <c r="AT265" s="17"/>
      <c r="AU265" s="30" t="s">
        <v>1843</v>
      </c>
      <c r="AV265" s="14" t="s">
        <v>207</v>
      </c>
      <c r="AW265" s="74"/>
      <c r="AX265" s="1"/>
      <c r="AY265" s="17" t="s">
        <v>101</v>
      </c>
    </row>
    <row r="266" spans="1:51" ht="12.75" customHeight="1" x14ac:dyDescent="0.25">
      <c r="A266" s="5">
        <v>265</v>
      </c>
      <c r="B266" s="9">
        <v>265</v>
      </c>
      <c r="C266" s="9" t="s">
        <v>3110</v>
      </c>
      <c r="D266" s="57" t="str">
        <f>HYPERLINK("http://prodenv.dep.state.fl.us/DepNexus/public/electronic-documents/OG_265/facility!search","OG_265_Docs")</f>
        <v>OG_265_Docs</v>
      </c>
      <c r="E266" s="57" t="str">
        <f>HYPERLINK("https://ca.dep.state.fl.us/mapdirect/?focus=oilandgas&amp;zoom=query&amp;querytype=oilandgas&amp;queryvalues=OG_265","OG_265_Map")</f>
        <v>OG_265_Map</v>
      </c>
      <c r="F266" s="1" t="s">
        <v>665</v>
      </c>
      <c r="G266" s="1" t="s">
        <v>79</v>
      </c>
      <c r="H266" s="1" t="s">
        <v>176</v>
      </c>
      <c r="I266" s="1" t="s">
        <v>3111</v>
      </c>
      <c r="J266" s="17" t="s">
        <v>82</v>
      </c>
      <c r="K266" s="17" t="s">
        <v>83</v>
      </c>
      <c r="L266" s="17"/>
      <c r="M266" s="17" t="s">
        <v>84</v>
      </c>
      <c r="N266" s="52" t="s">
        <v>3112</v>
      </c>
      <c r="O266" s="17" t="s">
        <v>86</v>
      </c>
      <c r="P266" s="17" t="s">
        <v>86</v>
      </c>
      <c r="Q266" s="81" t="s">
        <v>3113</v>
      </c>
      <c r="R266" s="11">
        <v>26.336164</v>
      </c>
      <c r="S266" s="11">
        <v>-80.811663999999993</v>
      </c>
      <c r="T266" s="11" t="s">
        <v>3114</v>
      </c>
      <c r="U266" s="11" t="s">
        <v>3115</v>
      </c>
      <c r="V266" s="17" t="s">
        <v>3116</v>
      </c>
      <c r="W266" s="17" t="s">
        <v>110</v>
      </c>
      <c r="X266" s="70">
        <v>31</v>
      </c>
      <c r="Y266" s="70">
        <v>16</v>
      </c>
      <c r="Z266" s="13">
        <v>20954</v>
      </c>
      <c r="AA266" s="13">
        <v>21115</v>
      </c>
      <c r="AB266" s="13">
        <v>21263</v>
      </c>
      <c r="AC266" s="13">
        <v>21263</v>
      </c>
      <c r="AD266" s="86">
        <v>12800</v>
      </c>
      <c r="AE266" s="86">
        <v>12800</v>
      </c>
      <c r="AF266" s="70" t="s">
        <v>3117</v>
      </c>
      <c r="AG266" s="17" t="s">
        <v>3118</v>
      </c>
      <c r="AH266" s="17" t="s">
        <v>3119</v>
      </c>
      <c r="AI266" s="70" t="s">
        <v>3120</v>
      </c>
      <c r="AJ266" s="17" t="s">
        <v>94</v>
      </c>
      <c r="AK266" s="17" t="s">
        <v>95</v>
      </c>
      <c r="AL266" s="17" t="s">
        <v>3121</v>
      </c>
      <c r="AM266" s="17" t="s">
        <v>95</v>
      </c>
      <c r="AN266" s="17" t="s">
        <v>3122</v>
      </c>
      <c r="AO266" s="17" t="s">
        <v>98</v>
      </c>
      <c r="AP266" s="17" t="s">
        <v>98</v>
      </c>
      <c r="AQ266" s="17" t="s">
        <v>98</v>
      </c>
      <c r="AR266" s="17" t="s">
        <v>94</v>
      </c>
      <c r="AS266" s="17" t="s">
        <v>3123</v>
      </c>
      <c r="AT266" s="17">
        <v>100</v>
      </c>
      <c r="AU266" s="30" t="s">
        <v>3124</v>
      </c>
      <c r="AV266" s="14">
        <v>4661</v>
      </c>
      <c r="AW266" s="74"/>
      <c r="AX266" s="1"/>
      <c r="AY266" s="17" t="s">
        <v>101</v>
      </c>
    </row>
    <row r="267" spans="1:51" ht="12.75" customHeight="1" x14ac:dyDescent="0.25">
      <c r="A267" s="5">
        <v>266</v>
      </c>
      <c r="B267" s="9">
        <v>266</v>
      </c>
      <c r="C267" s="9" t="s">
        <v>3125</v>
      </c>
      <c r="D267" s="57" t="str">
        <f>HYPERLINK("http://prodenv.dep.state.fl.us/DepNexus/public/electronic-documents/OG_266/facility!search","OG_266_Docs")</f>
        <v>OG_266_Docs</v>
      </c>
      <c r="E267" s="57" t="str">
        <f>HYPERLINK("https://ca.dep.state.fl.us/mapdirect/?focus=oilandgas&amp;zoom=query&amp;querytype=oilandgas&amp;queryvalues=OG_266","OG_266_Map")</f>
        <v>OG_266_Map</v>
      </c>
      <c r="F267" s="1" t="s">
        <v>103</v>
      </c>
      <c r="G267" s="1" t="s">
        <v>79</v>
      </c>
      <c r="H267" s="1" t="s">
        <v>3039</v>
      </c>
      <c r="I267" s="1" t="s">
        <v>1917</v>
      </c>
      <c r="J267" s="17" t="s">
        <v>82</v>
      </c>
      <c r="K267" s="17" t="s">
        <v>83</v>
      </c>
      <c r="L267" s="17"/>
      <c r="M267" s="17"/>
      <c r="N267" s="52" t="s">
        <v>130</v>
      </c>
      <c r="O267" s="17" t="s">
        <v>86</v>
      </c>
      <c r="P267" s="17" t="s">
        <v>86</v>
      </c>
      <c r="Q267" s="81" t="s">
        <v>3126</v>
      </c>
      <c r="R267" s="11">
        <v>30.417735</v>
      </c>
      <c r="S267" s="11">
        <v>-85.287454999999994</v>
      </c>
      <c r="T267" s="11" t="s">
        <v>3127</v>
      </c>
      <c r="U267" s="11" t="s">
        <v>3128</v>
      </c>
      <c r="V267" s="17" t="s">
        <v>3129</v>
      </c>
      <c r="W267" s="17" t="s">
        <v>110</v>
      </c>
      <c r="X267" s="70">
        <v>102</v>
      </c>
      <c r="Y267" s="70">
        <v>97</v>
      </c>
      <c r="Z267" s="13">
        <v>21143</v>
      </c>
      <c r="AA267" s="13">
        <v>21138</v>
      </c>
      <c r="AB267" s="13">
        <v>21159</v>
      </c>
      <c r="AC267" s="13">
        <v>21160</v>
      </c>
      <c r="AD267" s="86">
        <v>4650</v>
      </c>
      <c r="AE267" s="86">
        <v>4650</v>
      </c>
      <c r="AF267" s="70" t="s">
        <v>3130</v>
      </c>
      <c r="AG267" s="17" t="s">
        <v>3131</v>
      </c>
      <c r="AH267" s="17" t="s">
        <v>94</v>
      </c>
      <c r="AI267" s="70" t="s">
        <v>94</v>
      </c>
      <c r="AJ267" s="17" t="s">
        <v>94</v>
      </c>
      <c r="AK267" s="17" t="s">
        <v>95</v>
      </c>
      <c r="AL267" s="17" t="s">
        <v>94</v>
      </c>
      <c r="AM267" s="17" t="s">
        <v>94</v>
      </c>
      <c r="AN267" s="17" t="s">
        <v>94</v>
      </c>
      <c r="AO267" s="17" t="s">
        <v>98</v>
      </c>
      <c r="AP267" s="17" t="s">
        <v>98</v>
      </c>
      <c r="AQ267" s="17" t="s">
        <v>98</v>
      </c>
      <c r="AR267" s="17" t="s">
        <v>94</v>
      </c>
      <c r="AS267" s="17" t="s">
        <v>3132</v>
      </c>
      <c r="AT267" s="17"/>
      <c r="AU267" s="30" t="s">
        <v>3133</v>
      </c>
      <c r="AV267" s="14">
        <v>4498</v>
      </c>
      <c r="AW267" s="74"/>
      <c r="AX267" s="1"/>
      <c r="AY267" s="17" t="s">
        <v>101</v>
      </c>
    </row>
    <row r="268" spans="1:51" ht="12.75" customHeight="1" x14ac:dyDescent="0.25">
      <c r="A268" s="5">
        <v>267</v>
      </c>
      <c r="B268" s="9">
        <v>267</v>
      </c>
      <c r="C268" s="9" t="s">
        <v>3134</v>
      </c>
      <c r="D268" s="57" t="str">
        <f>HYPERLINK("http://prodenv.dep.state.fl.us/DepNexus/public/electronic-documents/OG_267/facility!search","OG_267_Docs")</f>
        <v>OG_267_Docs</v>
      </c>
      <c r="E268" s="57" t="str">
        <f>HYPERLINK("https://ca.dep.state.fl.us/mapdirect/?focus=oilandgas&amp;zoom=query&amp;querytype=oilandgas&amp;queryvalues=OG_267","OG_267_Map")</f>
        <v>OG_267_Map</v>
      </c>
      <c r="F268" s="1" t="s">
        <v>829</v>
      </c>
      <c r="G268" s="1" t="s">
        <v>79</v>
      </c>
      <c r="H268" s="1" t="s">
        <v>3135</v>
      </c>
      <c r="I268" s="1" t="s">
        <v>3136</v>
      </c>
      <c r="J268" s="17" t="s">
        <v>82</v>
      </c>
      <c r="K268" s="17" t="s">
        <v>83</v>
      </c>
      <c r="L268" s="17"/>
      <c r="M268" s="17" t="s">
        <v>101</v>
      </c>
      <c r="N268" s="52" t="s">
        <v>130</v>
      </c>
      <c r="O268" s="17" t="s">
        <v>86</v>
      </c>
      <c r="P268" s="17" t="s">
        <v>86</v>
      </c>
      <c r="Q268" s="81" t="s">
        <v>3137</v>
      </c>
      <c r="R268" s="11">
        <v>30.764485000000001</v>
      </c>
      <c r="S268" s="11">
        <v>-86.437065000000004</v>
      </c>
      <c r="T268" s="11" t="s">
        <v>3138</v>
      </c>
      <c r="U268" s="11" t="s">
        <v>3139</v>
      </c>
      <c r="V268" s="17" t="s">
        <v>3140</v>
      </c>
      <c r="W268" s="17" t="s">
        <v>110</v>
      </c>
      <c r="X268" s="70">
        <v>227</v>
      </c>
      <c r="Y268" s="70">
        <v>219</v>
      </c>
      <c r="Z268" s="13">
        <v>21220</v>
      </c>
      <c r="AA268" s="13">
        <v>21238</v>
      </c>
      <c r="AB268" s="13">
        <v>21248</v>
      </c>
      <c r="AC268" s="13">
        <v>21249</v>
      </c>
      <c r="AD268" s="86">
        <v>6132</v>
      </c>
      <c r="AE268" s="86">
        <v>6132</v>
      </c>
      <c r="AF268" s="70" t="s">
        <v>94</v>
      </c>
      <c r="AG268" s="17" t="s">
        <v>3141</v>
      </c>
      <c r="AH268" s="17" t="s">
        <v>94</v>
      </c>
      <c r="AI268" s="70" t="s">
        <v>94</v>
      </c>
      <c r="AJ268" s="17" t="s">
        <v>94</v>
      </c>
      <c r="AK268" s="17" t="s">
        <v>95</v>
      </c>
      <c r="AL268" s="17" t="s">
        <v>94</v>
      </c>
      <c r="AM268" s="17" t="s">
        <v>94</v>
      </c>
      <c r="AN268" s="17" t="s">
        <v>94</v>
      </c>
      <c r="AO268" s="17" t="s">
        <v>98</v>
      </c>
      <c r="AP268" s="17" t="s">
        <v>98</v>
      </c>
      <c r="AQ268" s="17" t="s">
        <v>98</v>
      </c>
      <c r="AR268" s="17" t="s">
        <v>94</v>
      </c>
      <c r="AS268" s="17" t="s">
        <v>3142</v>
      </c>
      <c r="AT268" s="17">
        <v>132</v>
      </c>
      <c r="AU268" s="30" t="s">
        <v>3143</v>
      </c>
      <c r="AV268" s="14">
        <v>4576</v>
      </c>
      <c r="AW268" s="74"/>
      <c r="AX268" s="1"/>
      <c r="AY268" s="17" t="s">
        <v>101</v>
      </c>
    </row>
    <row r="269" spans="1:51" ht="12.75" customHeight="1" x14ac:dyDescent="0.25">
      <c r="A269" s="5">
        <v>268</v>
      </c>
      <c r="B269" s="9">
        <v>268</v>
      </c>
      <c r="C269" s="9" t="s">
        <v>3144</v>
      </c>
      <c r="D269" s="57" t="str">
        <f>HYPERLINK("http://prodenv.dep.state.fl.us/DepNexus/public/electronic-documents/OG_268/facility!search","OG_268_Docs")</f>
        <v>OG_268_Docs</v>
      </c>
      <c r="E269" s="57" t="str">
        <f>HYPERLINK("https://ca.dep.state.fl.us/mapdirect/?focus=oilandgas&amp;zoom=query&amp;querytype=oilandgas&amp;queryvalues=OG_268","OG_268_Map")</f>
        <v>OG_268_Map</v>
      </c>
      <c r="F269" s="1" t="s">
        <v>314</v>
      </c>
      <c r="G269" s="1" t="s">
        <v>79</v>
      </c>
      <c r="H269" s="1" t="s">
        <v>3145</v>
      </c>
      <c r="I269" s="1" t="s">
        <v>983</v>
      </c>
      <c r="J269" s="17" t="s">
        <v>82</v>
      </c>
      <c r="K269" s="17" t="s">
        <v>83</v>
      </c>
      <c r="L269" s="17"/>
      <c r="M269" s="17" t="s">
        <v>101</v>
      </c>
      <c r="N269" s="52" t="s">
        <v>3029</v>
      </c>
      <c r="O269" s="17" t="s">
        <v>86</v>
      </c>
      <c r="P269" s="17" t="s">
        <v>86</v>
      </c>
      <c r="Q269" s="81" t="s">
        <v>3146</v>
      </c>
      <c r="R269" s="11">
        <v>30.502542999999999</v>
      </c>
      <c r="S269" s="11">
        <v>-86.042353000000006</v>
      </c>
      <c r="T269" s="11" t="s">
        <v>3147</v>
      </c>
      <c r="U269" s="11" t="s">
        <v>3148</v>
      </c>
      <c r="V269" s="17" t="s">
        <v>2990</v>
      </c>
      <c r="W269" s="17" t="s">
        <v>110</v>
      </c>
      <c r="X269" s="70"/>
      <c r="Y269" s="70">
        <v>99</v>
      </c>
      <c r="Z269" s="13">
        <v>21276</v>
      </c>
      <c r="AA269" s="13">
        <v>21283</v>
      </c>
      <c r="AB269" s="13">
        <v>21323</v>
      </c>
      <c r="AC269" s="13">
        <v>21324</v>
      </c>
      <c r="AD269" s="86">
        <v>11952</v>
      </c>
      <c r="AE269" s="86">
        <v>11952</v>
      </c>
      <c r="AF269" s="70" t="s">
        <v>3149</v>
      </c>
      <c r="AG269" s="17" t="s">
        <v>3150</v>
      </c>
      <c r="AH269" s="17" t="s">
        <v>94</v>
      </c>
      <c r="AI269" s="70" t="s">
        <v>94</v>
      </c>
      <c r="AJ269" s="17" t="s">
        <v>94</v>
      </c>
      <c r="AK269" s="17" t="s">
        <v>95</v>
      </c>
      <c r="AL269" s="17" t="s">
        <v>94</v>
      </c>
      <c r="AM269" s="17" t="s">
        <v>94</v>
      </c>
      <c r="AN269" s="17" t="s">
        <v>94</v>
      </c>
      <c r="AO269" s="17" t="s">
        <v>98</v>
      </c>
      <c r="AP269" s="17" t="s">
        <v>98</v>
      </c>
      <c r="AQ269" s="17" t="s">
        <v>98</v>
      </c>
      <c r="AR269" s="17" t="s">
        <v>94</v>
      </c>
      <c r="AS269" s="17" t="s">
        <v>3151</v>
      </c>
      <c r="AT269" s="17">
        <v>200</v>
      </c>
      <c r="AU269" s="30" t="s">
        <v>3152</v>
      </c>
      <c r="AV269" s="14">
        <v>4701</v>
      </c>
      <c r="AW269" s="74"/>
      <c r="AX269" s="1"/>
      <c r="AY269" s="17" t="s">
        <v>101</v>
      </c>
    </row>
    <row r="270" spans="1:51" ht="12.75" customHeight="1" x14ac:dyDescent="0.25">
      <c r="A270" s="5">
        <v>269</v>
      </c>
      <c r="B270" s="9">
        <v>269</v>
      </c>
      <c r="C270" s="9" t="s">
        <v>3153</v>
      </c>
      <c r="D270" s="57" t="str">
        <f>HYPERLINK("http://prodenv.dep.state.fl.us/DepNexus/public/electronic-documents/OG_269/facility!search","OG_269_Docs")</f>
        <v>OG_269_Docs</v>
      </c>
      <c r="E270" s="57" t="str">
        <f>HYPERLINK("https://ca.dep.state.fl.us/mapdirect/?focus=oilandgas&amp;zoom=query&amp;querytype=oilandgas&amp;queryvalues=OG_269","OG_269_Map")</f>
        <v>OG_269_Map</v>
      </c>
      <c r="F270" s="1" t="s">
        <v>1837</v>
      </c>
      <c r="G270" s="1" t="s">
        <v>79</v>
      </c>
      <c r="H270" s="1" t="s">
        <v>2806</v>
      </c>
      <c r="I270" s="1" t="s">
        <v>3154</v>
      </c>
      <c r="J270" s="17" t="s">
        <v>82</v>
      </c>
      <c r="K270" s="17" t="s">
        <v>83</v>
      </c>
      <c r="L270" s="17"/>
      <c r="M270" s="17" t="s">
        <v>101</v>
      </c>
      <c r="N270" s="52" t="s">
        <v>2808</v>
      </c>
      <c r="O270" s="17" t="s">
        <v>86</v>
      </c>
      <c r="P270" s="17" t="s">
        <v>86</v>
      </c>
      <c r="Q270" s="81" t="s">
        <v>3155</v>
      </c>
      <c r="R270" s="11">
        <v>26.941794999999999</v>
      </c>
      <c r="S270" s="11">
        <v>-81.272927999999993</v>
      </c>
      <c r="T270" s="11" t="s">
        <v>3156</v>
      </c>
      <c r="U270" s="11" t="s">
        <v>3157</v>
      </c>
      <c r="V270" s="17" t="s">
        <v>504</v>
      </c>
      <c r="W270" s="17" t="s">
        <v>110</v>
      </c>
      <c r="X270" s="70">
        <v>54</v>
      </c>
      <c r="Y270" s="70">
        <v>39</v>
      </c>
      <c r="Z270" s="13">
        <v>21304</v>
      </c>
      <c r="AA270" s="13">
        <v>21318</v>
      </c>
      <c r="AB270" s="13">
        <v>21385</v>
      </c>
      <c r="AC270" s="13">
        <v>21385</v>
      </c>
      <c r="AD270" s="86">
        <v>10993</v>
      </c>
      <c r="AE270" s="86">
        <v>10993</v>
      </c>
      <c r="AF270" s="70" t="s">
        <v>3158</v>
      </c>
      <c r="AG270" s="17" t="s">
        <v>3159</v>
      </c>
      <c r="AH270" s="17" t="s">
        <v>3160</v>
      </c>
      <c r="AI270" s="70" t="s">
        <v>94</v>
      </c>
      <c r="AJ270" s="17" t="s">
        <v>94</v>
      </c>
      <c r="AK270" s="17" t="s">
        <v>95</v>
      </c>
      <c r="AL270" s="17" t="s">
        <v>3161</v>
      </c>
      <c r="AM270" s="17" t="s">
        <v>94</v>
      </c>
      <c r="AN270" s="17" t="s">
        <v>3162</v>
      </c>
      <c r="AO270" s="17" t="s">
        <v>98</v>
      </c>
      <c r="AP270" s="17" t="s">
        <v>98</v>
      </c>
      <c r="AQ270" s="17" t="s">
        <v>98</v>
      </c>
      <c r="AR270" s="17" t="s">
        <v>94</v>
      </c>
      <c r="AS270" s="17" t="s">
        <v>3163</v>
      </c>
      <c r="AT270" s="17">
        <v>170</v>
      </c>
      <c r="AU270" s="30" t="s">
        <v>3164</v>
      </c>
      <c r="AV270" s="14">
        <v>4750</v>
      </c>
      <c r="AW270" s="74"/>
      <c r="AX270" s="1"/>
      <c r="AY270" s="17" t="s">
        <v>101</v>
      </c>
    </row>
    <row r="271" spans="1:51" ht="12.75" customHeight="1" x14ac:dyDescent="0.25">
      <c r="A271" s="5">
        <v>270</v>
      </c>
      <c r="B271" s="9">
        <v>270</v>
      </c>
      <c r="C271" s="9" t="s">
        <v>3165</v>
      </c>
      <c r="D271" s="57" t="str">
        <f>HYPERLINK("http://prodenv.dep.state.fl.us/DepNexus/public/electronic-documents/OG_270/facility!search","OG_270_Docs")</f>
        <v>OG_270_Docs</v>
      </c>
      <c r="E271" s="57" t="str">
        <f>HYPERLINK("https://ca.dep.state.fl.us/mapdirect/?focus=oilandgas&amp;zoom=query&amp;querytype=oilandgas&amp;queryvalues=OG_270","OG_270_Map")</f>
        <v>OG_270_Map</v>
      </c>
      <c r="F271" s="1" t="s">
        <v>438</v>
      </c>
      <c r="G271" s="1" t="s">
        <v>79</v>
      </c>
      <c r="H271" s="1" t="s">
        <v>3166</v>
      </c>
      <c r="I271" s="1" t="s">
        <v>3167</v>
      </c>
      <c r="J271" s="17" t="s">
        <v>82</v>
      </c>
      <c r="K271" s="17" t="s">
        <v>83</v>
      </c>
      <c r="L271" s="17"/>
      <c r="M271" s="17" t="s">
        <v>101</v>
      </c>
      <c r="N271" s="52" t="s">
        <v>86</v>
      </c>
      <c r="O271" s="17" t="s">
        <v>86</v>
      </c>
      <c r="P271" s="17" t="s">
        <v>86</v>
      </c>
      <c r="Q271" s="81" t="s">
        <v>3168</v>
      </c>
      <c r="R271" s="11">
        <v>27.757501999999999</v>
      </c>
      <c r="S271" s="11">
        <v>-82.337885999999997</v>
      </c>
      <c r="T271" s="11" t="s">
        <v>3169</v>
      </c>
      <c r="U271" s="11" t="s">
        <v>3170</v>
      </c>
      <c r="V271" s="17" t="s">
        <v>3171</v>
      </c>
      <c r="W271" s="17" t="s">
        <v>110</v>
      </c>
      <c r="X271" s="70"/>
      <c r="Y271" s="70">
        <v>55</v>
      </c>
      <c r="Z271" s="13">
        <v>21346</v>
      </c>
      <c r="AA271" s="13">
        <v>21367</v>
      </c>
      <c r="AB271" s="13">
        <v>22250</v>
      </c>
      <c r="AC271" s="13">
        <v>22250</v>
      </c>
      <c r="AD271" s="86">
        <v>3170</v>
      </c>
      <c r="AE271" s="86">
        <v>3170</v>
      </c>
      <c r="AF271" s="70" t="s">
        <v>3172</v>
      </c>
      <c r="AG271" s="17" t="s">
        <v>3173</v>
      </c>
      <c r="AH271" s="17" t="s">
        <v>3174</v>
      </c>
      <c r="AI271" s="70" t="s">
        <v>94</v>
      </c>
      <c r="AJ271" s="17" t="s">
        <v>94</v>
      </c>
      <c r="AK271" s="17" t="s">
        <v>94</v>
      </c>
      <c r="AL271" s="17" t="s">
        <v>86</v>
      </c>
      <c r="AM271" s="17" t="s">
        <v>94</v>
      </c>
      <c r="AN271" s="17" t="s">
        <v>94</v>
      </c>
      <c r="AO271" s="17" t="s">
        <v>98</v>
      </c>
      <c r="AP271" s="17" t="s">
        <v>98</v>
      </c>
      <c r="AQ271" s="17" t="s">
        <v>98</v>
      </c>
      <c r="AR271" s="17" t="s">
        <v>94</v>
      </c>
      <c r="AS271" s="17" t="s">
        <v>3175</v>
      </c>
      <c r="AT271" s="17"/>
      <c r="AU271" s="30" t="s">
        <v>3176</v>
      </c>
      <c r="AV271" s="14" t="s">
        <v>94</v>
      </c>
      <c r="AW271" s="74"/>
      <c r="AX271" s="1"/>
      <c r="AY271" s="17" t="s">
        <v>101</v>
      </c>
    </row>
    <row r="272" spans="1:51" ht="12.75" customHeight="1" x14ac:dyDescent="0.25">
      <c r="A272" s="5">
        <v>271</v>
      </c>
      <c r="B272" s="9">
        <v>271</v>
      </c>
      <c r="C272" s="9" t="s">
        <v>3177</v>
      </c>
      <c r="D272" s="57" t="str">
        <f>HYPERLINK("http://prodenv.dep.state.fl.us/DepNexus/public/electronic-documents/OG_271/facility!search","OG_271_Docs")</f>
        <v>OG_271_Docs</v>
      </c>
      <c r="E272" s="57" t="str">
        <f>HYPERLINK("https://ca.dep.state.fl.us/mapdirect/?focus=oilandgas&amp;zoom=query&amp;querytype=oilandgas&amp;queryvalues=OG_271","OG_271_Map")</f>
        <v>OG_271_Map</v>
      </c>
      <c r="F272" s="1" t="s">
        <v>2026</v>
      </c>
      <c r="G272" s="1" t="s">
        <v>79</v>
      </c>
      <c r="H272" s="1" t="s">
        <v>176</v>
      </c>
      <c r="I272" s="1" t="s">
        <v>3178</v>
      </c>
      <c r="J272" s="17" t="s">
        <v>82</v>
      </c>
      <c r="K272" s="17" t="s">
        <v>83</v>
      </c>
      <c r="L272" s="17" t="s">
        <v>101</v>
      </c>
      <c r="M272" s="17" t="s">
        <v>101</v>
      </c>
      <c r="N272" s="52" t="s">
        <v>86</v>
      </c>
      <c r="O272" s="17" t="s">
        <v>86</v>
      </c>
      <c r="P272" s="17" t="s">
        <v>86</v>
      </c>
      <c r="Q272" s="81" t="s">
        <v>3179</v>
      </c>
      <c r="R272" s="11">
        <v>26.477046000000001</v>
      </c>
      <c r="S272" s="11">
        <v>-81.622213000000002</v>
      </c>
      <c r="T272" s="11" t="s">
        <v>3180</v>
      </c>
      <c r="U272" s="11" t="s">
        <v>3181</v>
      </c>
      <c r="V272" s="17" t="s">
        <v>3182</v>
      </c>
      <c r="W272" s="17" t="s">
        <v>110</v>
      </c>
      <c r="X272" s="70">
        <v>47</v>
      </c>
      <c r="Y272" s="70">
        <v>30</v>
      </c>
      <c r="Z272" s="13">
        <v>21388</v>
      </c>
      <c r="AA272" s="13">
        <v>21429</v>
      </c>
      <c r="AB272" s="13">
        <v>21521</v>
      </c>
      <c r="AC272" s="13">
        <v>21526</v>
      </c>
      <c r="AD272" s="86">
        <v>11898</v>
      </c>
      <c r="AE272" s="86">
        <v>11898</v>
      </c>
      <c r="AF272" s="70" t="s">
        <v>3183</v>
      </c>
      <c r="AG272" s="17" t="s">
        <v>3184</v>
      </c>
      <c r="AH272" s="17" t="s">
        <v>3185</v>
      </c>
      <c r="AI272" s="70" t="s">
        <v>94</v>
      </c>
      <c r="AJ272" s="17" t="s">
        <v>94</v>
      </c>
      <c r="AK272" s="17" t="s">
        <v>95</v>
      </c>
      <c r="AL272" s="17" t="s">
        <v>94</v>
      </c>
      <c r="AM272" s="17" t="s">
        <v>94</v>
      </c>
      <c r="AN272" s="17" t="s">
        <v>3186</v>
      </c>
      <c r="AO272" s="17" t="s">
        <v>3187</v>
      </c>
      <c r="AP272" s="17" t="s">
        <v>94</v>
      </c>
      <c r="AQ272" s="17" t="s">
        <v>94</v>
      </c>
      <c r="AR272" s="17" t="s">
        <v>94</v>
      </c>
      <c r="AS272" s="17" t="s">
        <v>3188</v>
      </c>
      <c r="AT272" s="17">
        <v>190</v>
      </c>
      <c r="AU272" s="30" t="s">
        <v>3189</v>
      </c>
      <c r="AV272" s="14">
        <v>4839</v>
      </c>
      <c r="AW272" s="74"/>
      <c r="AX272" s="1"/>
      <c r="AY272" s="17" t="s">
        <v>101</v>
      </c>
    </row>
    <row r="273" spans="1:51" ht="12.75" customHeight="1" x14ac:dyDescent="0.25">
      <c r="A273" s="5">
        <v>272</v>
      </c>
      <c r="B273" s="9">
        <v>272</v>
      </c>
      <c r="C273" s="9" t="s">
        <v>3190</v>
      </c>
      <c r="D273" s="57" t="str">
        <f>HYPERLINK("http://prodenv.dep.state.fl.us/DepNexus/public/electronic-documents/OG_272/facility!search","OG_272_Docs")</f>
        <v>OG_272_Docs</v>
      </c>
      <c r="E273" s="57" t="str">
        <f>HYPERLINK("https://ca.dep.state.fl.us/mapdirect/?focus=oilandgas&amp;zoom=query&amp;querytype=oilandgas&amp;queryvalues=OG_272","OG_272_Map")</f>
        <v>OG_272_Map</v>
      </c>
      <c r="F273" s="1" t="s">
        <v>1797</v>
      </c>
      <c r="G273" s="1" t="s">
        <v>79</v>
      </c>
      <c r="H273" s="1" t="s">
        <v>3191</v>
      </c>
      <c r="I273" s="1" t="s">
        <v>3192</v>
      </c>
      <c r="J273" s="17" t="s">
        <v>82</v>
      </c>
      <c r="K273" s="17" t="s">
        <v>83</v>
      </c>
      <c r="L273" s="17"/>
      <c r="M273" s="17"/>
      <c r="N273" s="52" t="s">
        <v>3193</v>
      </c>
      <c r="O273" s="17" t="s">
        <v>86</v>
      </c>
      <c r="P273" s="17" t="s">
        <v>86</v>
      </c>
      <c r="Q273" s="81" t="s">
        <v>3194</v>
      </c>
      <c r="R273" s="11">
        <v>30.848701999999999</v>
      </c>
      <c r="S273" s="11">
        <v>-87.118444999999994</v>
      </c>
      <c r="T273" s="11" t="s">
        <v>3195</v>
      </c>
      <c r="U273" s="11" t="s">
        <v>3196</v>
      </c>
      <c r="V273" s="17" t="s">
        <v>3197</v>
      </c>
      <c r="W273" s="17" t="s">
        <v>110</v>
      </c>
      <c r="X273" s="70">
        <v>174</v>
      </c>
      <c r="Y273" s="70">
        <v>166</v>
      </c>
      <c r="Z273" s="13">
        <v>21395</v>
      </c>
      <c r="AA273" s="13">
        <v>21397</v>
      </c>
      <c r="AB273" s="13">
        <v>21413</v>
      </c>
      <c r="AC273" s="13">
        <v>21413</v>
      </c>
      <c r="AD273" s="86">
        <v>6914</v>
      </c>
      <c r="AE273" s="86">
        <v>6914</v>
      </c>
      <c r="AF273" s="70" t="s">
        <v>94</v>
      </c>
      <c r="AG273" s="17" t="s">
        <v>3198</v>
      </c>
      <c r="AH273" s="17" t="s">
        <v>94</v>
      </c>
      <c r="AI273" s="70" t="s">
        <v>94</v>
      </c>
      <c r="AJ273" s="17" t="s">
        <v>94</v>
      </c>
      <c r="AK273" s="17" t="s">
        <v>95</v>
      </c>
      <c r="AL273" s="17" t="s">
        <v>94</v>
      </c>
      <c r="AM273" s="17" t="s">
        <v>94</v>
      </c>
      <c r="AN273" s="17" t="s">
        <v>94</v>
      </c>
      <c r="AO273" s="17" t="s">
        <v>98</v>
      </c>
      <c r="AP273" s="17" t="s">
        <v>98</v>
      </c>
      <c r="AQ273" s="17" t="s">
        <v>98</v>
      </c>
      <c r="AR273" s="17" t="s">
        <v>94</v>
      </c>
      <c r="AS273" s="17" t="s">
        <v>3199</v>
      </c>
      <c r="AT273" s="17"/>
      <c r="AU273" s="30" t="s">
        <v>3200</v>
      </c>
      <c r="AV273" s="14">
        <v>4719</v>
      </c>
      <c r="AW273" s="74"/>
      <c r="AX273" s="1"/>
      <c r="AY273" s="17" t="s">
        <v>101</v>
      </c>
    </row>
    <row r="274" spans="1:51" ht="12.75" customHeight="1" x14ac:dyDescent="0.25">
      <c r="A274" s="5">
        <v>273</v>
      </c>
      <c r="B274" s="9">
        <v>273</v>
      </c>
      <c r="C274" s="9" t="s">
        <v>3201</v>
      </c>
      <c r="D274" s="57" t="str">
        <f>HYPERLINK("http://prodenv.dep.state.fl.us/DepNexus/public/electronic-documents/OG_273/facility!search","OG_273_Docs")</f>
        <v>OG_273_Docs</v>
      </c>
      <c r="E274" s="57" t="str">
        <f>HYPERLINK("https://ca.dep.state.fl.us/mapdirect/?focus=oilandgas&amp;zoom=query&amp;querytype=oilandgas&amp;queryvalues=OG_273","OG_273_Map")</f>
        <v>OG_273_Map</v>
      </c>
      <c r="F274" s="1" t="s">
        <v>1797</v>
      </c>
      <c r="G274" s="1" t="s">
        <v>79</v>
      </c>
      <c r="H274" s="1" t="s">
        <v>3202</v>
      </c>
      <c r="I274" s="1" t="s">
        <v>3203</v>
      </c>
      <c r="J274" s="17" t="s">
        <v>82</v>
      </c>
      <c r="K274" s="17" t="s">
        <v>83</v>
      </c>
      <c r="L274" s="17"/>
      <c r="M274" s="17"/>
      <c r="N274" s="52" t="s">
        <v>3029</v>
      </c>
      <c r="O274" s="17" t="s">
        <v>86</v>
      </c>
      <c r="P274" s="17" t="s">
        <v>86</v>
      </c>
      <c r="Q274" s="81" t="s">
        <v>3204</v>
      </c>
      <c r="R274" s="11">
        <v>30.877223999999998</v>
      </c>
      <c r="S274" s="11">
        <v>-87.223817999999994</v>
      </c>
      <c r="T274" s="11" t="s">
        <v>3205</v>
      </c>
      <c r="U274" s="11" t="s">
        <v>3206</v>
      </c>
      <c r="V274" s="17" t="s">
        <v>2582</v>
      </c>
      <c r="W274" s="17" t="s">
        <v>110</v>
      </c>
      <c r="X274" s="70">
        <v>247</v>
      </c>
      <c r="Y274" s="70">
        <v>240</v>
      </c>
      <c r="Z274" s="13">
        <v>21423</v>
      </c>
      <c r="AA274" s="13">
        <v>21423</v>
      </c>
      <c r="AB274" s="13">
        <v>21436</v>
      </c>
      <c r="AC274" s="13">
        <v>21436</v>
      </c>
      <c r="AD274" s="86">
        <v>7005</v>
      </c>
      <c r="AE274" s="86">
        <v>7005</v>
      </c>
      <c r="AF274" s="70" t="s">
        <v>94</v>
      </c>
      <c r="AG274" s="17" t="s">
        <v>3207</v>
      </c>
      <c r="AH274" s="17" t="s">
        <v>94</v>
      </c>
      <c r="AI274" s="70" t="s">
        <v>94</v>
      </c>
      <c r="AJ274" s="17" t="s">
        <v>94</v>
      </c>
      <c r="AK274" s="17" t="s">
        <v>95</v>
      </c>
      <c r="AL274" s="17" t="s">
        <v>94</v>
      </c>
      <c r="AM274" s="17" t="s">
        <v>94</v>
      </c>
      <c r="AN274" s="17" t="s">
        <v>94</v>
      </c>
      <c r="AO274" s="17" t="s">
        <v>98</v>
      </c>
      <c r="AP274" s="17" t="s">
        <v>98</v>
      </c>
      <c r="AQ274" s="17" t="s">
        <v>98</v>
      </c>
      <c r="AR274" s="17" t="s">
        <v>94</v>
      </c>
      <c r="AS274" s="17" t="s">
        <v>3208</v>
      </c>
      <c r="AT274" s="17"/>
      <c r="AU274" s="30" t="s">
        <v>3209</v>
      </c>
      <c r="AV274" s="14">
        <v>4771</v>
      </c>
      <c r="AW274" s="74"/>
      <c r="AX274" s="1"/>
      <c r="AY274" s="17" t="s">
        <v>101</v>
      </c>
    </row>
    <row r="275" spans="1:51" ht="12.75" customHeight="1" x14ac:dyDescent="0.25">
      <c r="A275" s="5">
        <v>274</v>
      </c>
      <c r="B275" s="9">
        <v>274</v>
      </c>
      <c r="C275" s="9" t="s">
        <v>3210</v>
      </c>
      <c r="D275" s="57" t="str">
        <f>HYPERLINK("http://prodenv.dep.state.fl.us/DepNexus/public/electronic-documents/OG_274/facility!search","OG_274_Docs")</f>
        <v>OG_274_Docs</v>
      </c>
      <c r="E275" s="57" t="str">
        <f>HYPERLINK("https://ca.dep.state.fl.us/mapdirect/?focus=oilandgas&amp;zoom=query&amp;querytype=oilandgas&amp;queryvalues=OG_274","OG_274_Map")</f>
        <v>OG_274_Map</v>
      </c>
      <c r="F275" s="1" t="s">
        <v>151</v>
      </c>
      <c r="G275" s="1" t="s">
        <v>79</v>
      </c>
      <c r="H275" s="1" t="s">
        <v>3039</v>
      </c>
      <c r="I275" s="1" t="s">
        <v>3211</v>
      </c>
      <c r="J275" s="17" t="s">
        <v>82</v>
      </c>
      <c r="K275" s="17" t="s">
        <v>83</v>
      </c>
      <c r="L275" s="17"/>
      <c r="M275" s="17" t="s">
        <v>101</v>
      </c>
      <c r="N275" s="52" t="s">
        <v>3193</v>
      </c>
      <c r="O275" s="17" t="s">
        <v>86</v>
      </c>
      <c r="P275" s="17" t="s">
        <v>86</v>
      </c>
      <c r="Q275" s="81" t="s">
        <v>3212</v>
      </c>
      <c r="R275" s="11">
        <v>30.398264000000001</v>
      </c>
      <c r="S275" s="11">
        <v>-85.435563999999999</v>
      </c>
      <c r="T275" s="11" t="s">
        <v>3213</v>
      </c>
      <c r="U275" s="11" t="s">
        <v>3214</v>
      </c>
      <c r="V275" s="17" t="s">
        <v>3215</v>
      </c>
      <c r="W275" s="17" t="s">
        <v>110</v>
      </c>
      <c r="X275" s="70">
        <v>105</v>
      </c>
      <c r="Y275" s="70">
        <v>100</v>
      </c>
      <c r="Z275" s="13">
        <v>21528</v>
      </c>
      <c r="AA275" s="13">
        <v>21556</v>
      </c>
      <c r="AB275" s="13">
        <v>21566</v>
      </c>
      <c r="AC275" s="13">
        <v>21566</v>
      </c>
      <c r="AD275" s="86">
        <v>4748</v>
      </c>
      <c r="AE275" s="86">
        <v>4748</v>
      </c>
      <c r="AF275" s="70" t="s">
        <v>3216</v>
      </c>
      <c r="AG275" s="17" t="s">
        <v>3217</v>
      </c>
      <c r="AH275" s="17" t="s">
        <v>94</v>
      </c>
      <c r="AI275" s="70" t="s">
        <v>94</v>
      </c>
      <c r="AJ275" s="17" t="s">
        <v>94</v>
      </c>
      <c r="AK275" s="17" t="s">
        <v>95</v>
      </c>
      <c r="AL275" s="17" t="s">
        <v>94</v>
      </c>
      <c r="AM275" s="17" t="s">
        <v>94</v>
      </c>
      <c r="AN275" s="17" t="s">
        <v>94</v>
      </c>
      <c r="AO275" s="17" t="s">
        <v>98</v>
      </c>
      <c r="AP275" s="17" t="s">
        <v>98</v>
      </c>
      <c r="AQ275" s="17" t="s">
        <v>98</v>
      </c>
      <c r="AR275" s="17" t="s">
        <v>94</v>
      </c>
      <c r="AS275" s="17" t="s">
        <v>3218</v>
      </c>
      <c r="AT275" s="17">
        <v>120</v>
      </c>
      <c r="AU275" s="30" t="s">
        <v>3219</v>
      </c>
      <c r="AV275" s="14">
        <v>4920</v>
      </c>
      <c r="AW275" s="74"/>
      <c r="AX275" s="1"/>
      <c r="AY275" s="17" t="s">
        <v>101</v>
      </c>
    </row>
    <row r="276" spans="1:51" ht="12.75" customHeight="1" x14ac:dyDescent="0.25">
      <c r="A276" s="5">
        <v>275</v>
      </c>
      <c r="B276" s="9">
        <v>275</v>
      </c>
      <c r="C276" s="9" t="s">
        <v>3220</v>
      </c>
      <c r="D276" s="57" t="str">
        <f>HYPERLINK("http://prodenv.dep.state.fl.us/DepNexus/public/electronic-documents/OG_275/facility!search","OG_275_Docs")</f>
        <v>OG_275_Docs</v>
      </c>
      <c r="E276" s="57" t="str">
        <f>HYPERLINK("https://ca.dep.state.fl.us/mapdirect/?focus=oilandgas&amp;zoom=query&amp;querytype=oilandgas&amp;queryvalues=OG_275","OG_275_Map")</f>
        <v>OG_275_Map</v>
      </c>
      <c r="F276" s="1" t="s">
        <v>290</v>
      </c>
      <c r="G276" s="1" t="s">
        <v>79</v>
      </c>
      <c r="H276" s="1" t="s">
        <v>229</v>
      </c>
      <c r="I276" s="1" t="s">
        <v>3221</v>
      </c>
      <c r="J276" s="17" t="s">
        <v>82</v>
      </c>
      <c r="K276" s="17" t="s">
        <v>83</v>
      </c>
      <c r="L276" s="17" t="s">
        <v>101</v>
      </c>
      <c r="M276" s="17" t="s">
        <v>101</v>
      </c>
      <c r="N276" s="52" t="s">
        <v>3222</v>
      </c>
      <c r="O276" s="17" t="s">
        <v>609</v>
      </c>
      <c r="P276" s="17" t="s">
        <v>86</v>
      </c>
      <c r="Q276" s="81" t="s">
        <v>609</v>
      </c>
      <c r="R276" s="11">
        <v>24.617076000000001</v>
      </c>
      <c r="S276" s="11">
        <v>-82.039001999999996</v>
      </c>
      <c r="T276" s="11" t="s">
        <v>3223</v>
      </c>
      <c r="U276" s="11" t="s">
        <v>3224</v>
      </c>
      <c r="V276" s="17" t="s">
        <v>233</v>
      </c>
      <c r="W276" s="17" t="s">
        <v>110</v>
      </c>
      <c r="X276" s="70">
        <v>56</v>
      </c>
      <c r="Y276" s="70"/>
      <c r="Z276" s="13">
        <v>21570</v>
      </c>
      <c r="AA276" s="13">
        <v>21598</v>
      </c>
      <c r="AB276" s="13">
        <v>21783</v>
      </c>
      <c r="AC276" s="13">
        <v>21783</v>
      </c>
      <c r="AD276" s="86">
        <v>15474</v>
      </c>
      <c r="AE276" s="86">
        <v>15474</v>
      </c>
      <c r="AF276" s="70" t="s">
        <v>3225</v>
      </c>
      <c r="AG276" s="17" t="s">
        <v>3226</v>
      </c>
      <c r="AH276" s="17" t="s">
        <v>3227</v>
      </c>
      <c r="AI276" s="70" t="s">
        <v>3228</v>
      </c>
      <c r="AJ276" s="17" t="s">
        <v>94</v>
      </c>
      <c r="AK276" s="17" t="s">
        <v>95</v>
      </c>
      <c r="AL276" s="17" t="s">
        <v>3229</v>
      </c>
      <c r="AM276" s="17" t="s">
        <v>94</v>
      </c>
      <c r="AN276" s="17" t="s">
        <v>95</v>
      </c>
      <c r="AO276" s="17" t="s">
        <v>3230</v>
      </c>
      <c r="AP276" s="17" t="s">
        <v>94</v>
      </c>
      <c r="AQ276" s="17" t="s">
        <v>3231</v>
      </c>
      <c r="AR276" s="17" t="s">
        <v>94</v>
      </c>
      <c r="AS276" s="17" t="s">
        <v>3232</v>
      </c>
      <c r="AT276" s="17">
        <v>176</v>
      </c>
      <c r="AU276" s="30" t="s">
        <v>3233</v>
      </c>
      <c r="AV276" s="14">
        <v>5094</v>
      </c>
      <c r="AW276" s="74"/>
      <c r="AX276" s="1"/>
      <c r="AY276" s="17" t="s">
        <v>101</v>
      </c>
    </row>
    <row r="277" spans="1:51" ht="12.75" customHeight="1" x14ac:dyDescent="0.25">
      <c r="A277" s="5">
        <v>276</v>
      </c>
      <c r="B277" s="9">
        <v>276</v>
      </c>
      <c r="C277" s="9" t="s">
        <v>3234</v>
      </c>
      <c r="D277" s="57" t="str">
        <f>HYPERLINK("http://prodenv.dep.state.fl.us/DepNexus/public/electronic-documents/OG_276/facility!search","OG_276_Docs")</f>
        <v>OG_276_Docs</v>
      </c>
      <c r="E277" s="57" t="str">
        <f>HYPERLINK("https://ca.dep.state.fl.us/mapdirect/?focus=oilandgas&amp;zoom=query&amp;querytype=oilandgas&amp;queryvalues=OG_276","OG_276_Map")</f>
        <v>OG_276_Map</v>
      </c>
      <c r="F277" s="1" t="s">
        <v>486</v>
      </c>
      <c r="G277" s="1" t="s">
        <v>79</v>
      </c>
      <c r="H277" s="1" t="s">
        <v>128</v>
      </c>
      <c r="I277" s="1" t="s">
        <v>3235</v>
      </c>
      <c r="J277" s="17" t="s">
        <v>82</v>
      </c>
      <c r="K277" s="17" t="s">
        <v>83</v>
      </c>
      <c r="L277" s="17"/>
      <c r="M277" s="17"/>
      <c r="N277" s="52" t="s">
        <v>130</v>
      </c>
      <c r="O277" s="17" t="s">
        <v>86</v>
      </c>
      <c r="P277" s="17" t="s">
        <v>86</v>
      </c>
      <c r="Q277" s="81" t="s">
        <v>3236</v>
      </c>
      <c r="R277" s="11">
        <v>30.561406999999999</v>
      </c>
      <c r="S277" s="11">
        <v>-84.608204000000001</v>
      </c>
      <c r="T277" s="11" t="s">
        <v>3237</v>
      </c>
      <c r="U277" s="11" t="s">
        <v>3238</v>
      </c>
      <c r="V277" s="17" t="s">
        <v>3197</v>
      </c>
      <c r="W277" s="17" t="s">
        <v>110</v>
      </c>
      <c r="X277" s="70">
        <v>221</v>
      </c>
      <c r="Y277" s="70">
        <v>217</v>
      </c>
      <c r="Z277" s="13">
        <v>21570</v>
      </c>
      <c r="AA277" s="13">
        <v>21576</v>
      </c>
      <c r="AB277" s="13">
        <v>21601</v>
      </c>
      <c r="AC277" s="13">
        <v>21601</v>
      </c>
      <c r="AD277" s="86">
        <v>4186</v>
      </c>
      <c r="AE277" s="86">
        <v>4186</v>
      </c>
      <c r="AF277" s="70" t="s">
        <v>3239</v>
      </c>
      <c r="AG277" s="17" t="s">
        <v>3240</v>
      </c>
      <c r="AH277" s="17" t="s">
        <v>94</v>
      </c>
      <c r="AI277" s="70" t="s">
        <v>94</v>
      </c>
      <c r="AJ277" s="17" t="s">
        <v>94</v>
      </c>
      <c r="AK277" s="17" t="s">
        <v>95</v>
      </c>
      <c r="AL277" s="17" t="s">
        <v>94</v>
      </c>
      <c r="AM277" s="17" t="s">
        <v>94</v>
      </c>
      <c r="AN277" s="17" t="s">
        <v>94</v>
      </c>
      <c r="AO277" s="17" t="s">
        <v>98</v>
      </c>
      <c r="AP277" s="17" t="s">
        <v>98</v>
      </c>
      <c r="AQ277" s="17" t="s">
        <v>98</v>
      </c>
      <c r="AR277" s="17" t="s">
        <v>94</v>
      </c>
      <c r="AS277" s="17" t="s">
        <v>3241</v>
      </c>
      <c r="AT277" s="17">
        <v>110</v>
      </c>
      <c r="AU277" s="30" t="s">
        <v>3242</v>
      </c>
      <c r="AV277" s="14">
        <v>4925</v>
      </c>
      <c r="AW277" s="74"/>
      <c r="AX277" s="1"/>
      <c r="AY277" s="17" t="s">
        <v>101</v>
      </c>
    </row>
    <row r="278" spans="1:51" ht="12.75" customHeight="1" x14ac:dyDescent="0.25">
      <c r="A278" s="5">
        <v>277</v>
      </c>
      <c r="B278" s="9">
        <v>277</v>
      </c>
      <c r="C278" s="9" t="s">
        <v>3243</v>
      </c>
      <c r="D278" s="57" t="str">
        <f>HYPERLINK("http://prodenv.dep.state.fl.us/DepNexus/public/electronic-documents/OG_277/facility!search","OG_277_Docs")</f>
        <v>OG_277_Docs</v>
      </c>
      <c r="E278" s="57" t="str">
        <f>HYPERLINK("https://ca.dep.state.fl.us/mapdirect/?focus=oilandgas&amp;zoom=query&amp;querytype=oilandgas&amp;queryvalues=OG_277","OG_277_Map")</f>
        <v>OG_277_Map</v>
      </c>
      <c r="F278" s="1" t="s">
        <v>162</v>
      </c>
      <c r="G278" s="1" t="s">
        <v>79</v>
      </c>
      <c r="H278" s="1" t="s">
        <v>3244</v>
      </c>
      <c r="I278" s="1" t="s">
        <v>3245</v>
      </c>
      <c r="J278" s="17" t="s">
        <v>82</v>
      </c>
      <c r="K278" s="17" t="s">
        <v>82</v>
      </c>
      <c r="L278" s="17"/>
      <c r="M278" s="17" t="s">
        <v>101</v>
      </c>
      <c r="N278" s="52" t="s">
        <v>3029</v>
      </c>
      <c r="O278" s="17" t="s">
        <v>86</v>
      </c>
      <c r="P278" s="17" t="s">
        <v>340</v>
      </c>
      <c r="Q278" s="81" t="s">
        <v>3246</v>
      </c>
      <c r="R278" s="11">
        <v>30.065607</v>
      </c>
      <c r="S278" s="11">
        <v>-84.941092999999995</v>
      </c>
      <c r="T278" s="11" t="s">
        <v>3247</v>
      </c>
      <c r="U278" s="11" t="s">
        <v>3248</v>
      </c>
      <c r="V278" s="17" t="s">
        <v>3249</v>
      </c>
      <c r="W278" s="17" t="s">
        <v>110</v>
      </c>
      <c r="X278" s="70">
        <v>48.8</v>
      </c>
      <c r="Y278" s="70">
        <v>38.4</v>
      </c>
      <c r="Z278" s="13">
        <v>21619</v>
      </c>
      <c r="AA278" s="13">
        <v>21614</v>
      </c>
      <c r="AB278" s="13">
        <v>21636</v>
      </c>
      <c r="AC278" s="13">
        <v>21636</v>
      </c>
      <c r="AD278" s="86">
        <v>10010</v>
      </c>
      <c r="AE278" s="86">
        <v>10010</v>
      </c>
      <c r="AF278" s="70" t="s">
        <v>3250</v>
      </c>
      <c r="AG278" s="17" t="s">
        <v>3251</v>
      </c>
      <c r="AH278" s="17" t="s">
        <v>94</v>
      </c>
      <c r="AI278" s="70" t="s">
        <v>94</v>
      </c>
      <c r="AJ278" s="17" t="s">
        <v>94</v>
      </c>
      <c r="AK278" s="17" t="s">
        <v>95</v>
      </c>
      <c r="AL278" s="17" t="s">
        <v>3252</v>
      </c>
      <c r="AM278" s="17" t="s">
        <v>94</v>
      </c>
      <c r="AN278" s="17" t="s">
        <v>94</v>
      </c>
      <c r="AO278" s="17" t="s">
        <v>98</v>
      </c>
      <c r="AP278" s="17" t="s">
        <v>98</v>
      </c>
      <c r="AQ278" s="17" t="s">
        <v>98</v>
      </c>
      <c r="AR278" s="17" t="s">
        <v>94</v>
      </c>
      <c r="AS278" s="17" t="s">
        <v>3253</v>
      </c>
      <c r="AT278" s="17">
        <v>190</v>
      </c>
      <c r="AU278" s="30" t="s">
        <v>3254</v>
      </c>
      <c r="AV278" s="14">
        <v>4967</v>
      </c>
      <c r="AW278" s="74"/>
      <c r="AX278" s="1" t="s">
        <v>3255</v>
      </c>
      <c r="AY278" s="17" t="s">
        <v>101</v>
      </c>
    </row>
    <row r="279" spans="1:51" ht="12.75" customHeight="1" x14ac:dyDescent="0.25">
      <c r="A279" s="5">
        <v>278</v>
      </c>
      <c r="B279" s="9">
        <v>278</v>
      </c>
      <c r="C279" s="9" t="s">
        <v>3256</v>
      </c>
      <c r="D279" s="57" t="str">
        <f>HYPERLINK("http://prodenv.dep.state.fl.us/DepNexus/public/electronic-documents/OG_278/facility!search","OG_278_Docs")</f>
        <v>OG_278_Docs</v>
      </c>
      <c r="E279" s="57" t="str">
        <f>HYPERLINK("https://ca.dep.state.fl.us/mapdirect/?focus=oilandgas&amp;zoom=query&amp;querytype=oilandgas&amp;queryvalues=OG_278","OG_278_Map")</f>
        <v>OG_278_Map</v>
      </c>
      <c r="F279" s="1" t="s">
        <v>204</v>
      </c>
      <c r="G279" s="1" t="s">
        <v>2103</v>
      </c>
      <c r="H279" s="1" t="s">
        <v>3257</v>
      </c>
      <c r="I279" s="1" t="s">
        <v>3258</v>
      </c>
      <c r="J279" s="17" t="s">
        <v>82</v>
      </c>
      <c r="K279" s="17" t="s">
        <v>83</v>
      </c>
      <c r="L279" s="17" t="s">
        <v>101</v>
      </c>
      <c r="M279" s="17" t="s">
        <v>84</v>
      </c>
      <c r="N279" s="52" t="s">
        <v>3259</v>
      </c>
      <c r="O279" s="17" t="s">
        <v>86</v>
      </c>
      <c r="P279" s="17" t="s">
        <v>86</v>
      </c>
      <c r="Q279" s="81" t="s">
        <v>3260</v>
      </c>
      <c r="R279" s="11">
        <v>25.778831</v>
      </c>
      <c r="S279" s="11">
        <v>-80.805791999999997</v>
      </c>
      <c r="T279" s="11" t="s">
        <v>3261</v>
      </c>
      <c r="U279" s="11" t="s">
        <v>3262</v>
      </c>
      <c r="V279" s="17" t="s">
        <v>3263</v>
      </c>
      <c r="W279" s="17" t="s">
        <v>110</v>
      </c>
      <c r="X279" s="70">
        <v>23.6</v>
      </c>
      <c r="Y279" s="70">
        <v>9.6</v>
      </c>
      <c r="Z279" s="13">
        <v>21641</v>
      </c>
      <c r="AA279" s="13">
        <v>21633</v>
      </c>
      <c r="AB279" s="13">
        <v>21728</v>
      </c>
      <c r="AC279" s="13">
        <v>21728</v>
      </c>
      <c r="AD279" s="86">
        <v>11675</v>
      </c>
      <c r="AE279" s="86">
        <v>11675</v>
      </c>
      <c r="AF279" s="70" t="s">
        <v>554</v>
      </c>
      <c r="AG279" s="17" t="s">
        <v>3264</v>
      </c>
      <c r="AH279" s="17" t="s">
        <v>3265</v>
      </c>
      <c r="AI279" s="70" t="s">
        <v>94</v>
      </c>
      <c r="AJ279" s="17" t="s">
        <v>94</v>
      </c>
      <c r="AK279" s="17" t="s">
        <v>95</v>
      </c>
      <c r="AL279" s="17" t="s">
        <v>95</v>
      </c>
      <c r="AM279" s="17" t="s">
        <v>94</v>
      </c>
      <c r="AN279" s="17" t="s">
        <v>3266</v>
      </c>
      <c r="AO279" s="17" t="s">
        <v>98</v>
      </c>
      <c r="AP279" s="17" t="s">
        <v>98</v>
      </c>
      <c r="AQ279" s="17" t="s">
        <v>98</v>
      </c>
      <c r="AR279" s="17" t="s">
        <v>94</v>
      </c>
      <c r="AS279" s="17" t="s">
        <v>3267</v>
      </c>
      <c r="AT279" s="17">
        <v>150</v>
      </c>
      <c r="AU279" s="30" t="s">
        <v>3268</v>
      </c>
      <c r="AV279" s="14">
        <v>5010</v>
      </c>
      <c r="AW279" s="74"/>
      <c r="AX279" s="1"/>
      <c r="AY279" s="17" t="s">
        <v>101</v>
      </c>
    </row>
    <row r="280" spans="1:51" ht="12.75" customHeight="1" x14ac:dyDescent="0.25">
      <c r="A280" s="5">
        <v>279</v>
      </c>
      <c r="B280" s="9">
        <v>279</v>
      </c>
      <c r="C280" s="9" t="s">
        <v>3269</v>
      </c>
      <c r="D280" s="57" t="str">
        <f>HYPERLINK("http://prodenv.dep.state.fl.us/DepNexus/public/electronic-documents/OG_279/facility!search","OG_279_Docs")</f>
        <v>OG_279_Docs</v>
      </c>
      <c r="E280" s="57" t="str">
        <f>HYPERLINK("https://ca.dep.state.fl.us/mapdirect/?focus=oilandgas&amp;zoom=query&amp;querytype=oilandgas&amp;queryvalues=OG_279","OG_279_Map")</f>
        <v>OG_279_Map</v>
      </c>
      <c r="F280" s="1" t="s">
        <v>1752</v>
      </c>
      <c r="G280" s="1" t="s">
        <v>79</v>
      </c>
      <c r="H280" s="1" t="s">
        <v>3270</v>
      </c>
      <c r="I280" s="1" t="s">
        <v>2055</v>
      </c>
      <c r="J280" s="17" t="s">
        <v>82</v>
      </c>
      <c r="K280" s="17" t="s">
        <v>83</v>
      </c>
      <c r="L280" s="17"/>
      <c r="M280" s="17"/>
      <c r="N280" s="52" t="s">
        <v>3271</v>
      </c>
      <c r="O280" s="17" t="s">
        <v>86</v>
      </c>
      <c r="P280" s="17" t="s">
        <v>86</v>
      </c>
      <c r="Q280" s="81" t="s">
        <v>3272</v>
      </c>
      <c r="R280" s="11">
        <v>26.555233999999999</v>
      </c>
      <c r="S280" s="11">
        <v>-81.484708999999995</v>
      </c>
      <c r="T280" s="11" t="s">
        <v>3273</v>
      </c>
      <c r="U280" s="11" t="s">
        <v>3274</v>
      </c>
      <c r="V280" s="17" t="s">
        <v>3275</v>
      </c>
      <c r="W280" s="17" t="s">
        <v>110</v>
      </c>
      <c r="X280" s="70"/>
      <c r="Y280" s="70">
        <v>37.5</v>
      </c>
      <c r="Z280" s="13">
        <v>21780</v>
      </c>
      <c r="AA280" s="13">
        <v>21780</v>
      </c>
      <c r="AB280" s="13">
        <v>21836</v>
      </c>
      <c r="AC280" s="13">
        <v>21845</v>
      </c>
      <c r="AD280" s="86">
        <v>11646</v>
      </c>
      <c r="AE280" s="86">
        <v>11646</v>
      </c>
      <c r="AF280" s="70" t="s">
        <v>3276</v>
      </c>
      <c r="AG280" s="17" t="s">
        <v>3277</v>
      </c>
      <c r="AH280" s="17" t="s">
        <v>3278</v>
      </c>
      <c r="AI280" s="70" t="s">
        <v>94</v>
      </c>
      <c r="AJ280" s="17" t="s">
        <v>94</v>
      </c>
      <c r="AK280" s="17" t="s">
        <v>95</v>
      </c>
      <c r="AL280" s="17" t="s">
        <v>94</v>
      </c>
      <c r="AM280" s="17" t="s">
        <v>94</v>
      </c>
      <c r="AN280" s="17" t="s">
        <v>94</v>
      </c>
      <c r="AO280" s="17" t="s">
        <v>98</v>
      </c>
      <c r="AP280" s="17" t="s">
        <v>98</v>
      </c>
      <c r="AQ280" s="17" t="s">
        <v>98</v>
      </c>
      <c r="AR280" s="17" t="s">
        <v>94</v>
      </c>
      <c r="AS280" s="17" t="s">
        <v>3279</v>
      </c>
      <c r="AT280" s="17"/>
      <c r="AU280" s="30" t="s">
        <v>3280</v>
      </c>
      <c r="AV280" s="14">
        <v>5123</v>
      </c>
      <c r="AW280" s="74"/>
      <c r="AX280" s="1"/>
      <c r="AY280" s="17" t="s">
        <v>101</v>
      </c>
    </row>
    <row r="281" spans="1:51" ht="12.75" customHeight="1" x14ac:dyDescent="0.25">
      <c r="A281" s="5">
        <v>280</v>
      </c>
      <c r="B281" s="9">
        <v>280</v>
      </c>
      <c r="C281" s="9" t="s">
        <v>3281</v>
      </c>
      <c r="D281" s="57" t="str">
        <f>HYPERLINK("http://prodenv.dep.state.fl.us/DepNexus/public/electronic-documents/OG_280/facility!search","OG_280_Docs")</f>
        <v>OG_280_Docs</v>
      </c>
      <c r="E281" s="57" t="str">
        <f>HYPERLINK("https://ca.dep.state.fl.us/mapdirect/?focus=oilandgas&amp;zoom=query&amp;querytype=oilandgas&amp;queryvalues=OG_280","OG_280_Map")</f>
        <v>OG_280_Map</v>
      </c>
      <c r="F281" s="1" t="s">
        <v>290</v>
      </c>
      <c r="G281" s="1" t="s">
        <v>79</v>
      </c>
      <c r="H281" s="1" t="s">
        <v>1960</v>
      </c>
      <c r="I281" s="1" t="s">
        <v>3282</v>
      </c>
      <c r="J281" s="17" t="s">
        <v>82</v>
      </c>
      <c r="K281" s="17" t="s">
        <v>83</v>
      </c>
      <c r="L281" s="17"/>
      <c r="M281" s="17" t="s">
        <v>101</v>
      </c>
      <c r="N281" s="52" t="s">
        <v>3283</v>
      </c>
      <c r="O281" s="17" t="s">
        <v>292</v>
      </c>
      <c r="P281" s="17" t="s">
        <v>86</v>
      </c>
      <c r="Q281" s="81" t="s">
        <v>3284</v>
      </c>
      <c r="R281" s="11">
        <v>24.643547000000002</v>
      </c>
      <c r="S281" s="11">
        <v>-81.335959000000003</v>
      </c>
      <c r="T281" s="11" t="s">
        <v>3285</v>
      </c>
      <c r="U281" s="11" t="s">
        <v>3286</v>
      </c>
      <c r="V281" s="17" t="s">
        <v>3287</v>
      </c>
      <c r="W281" s="17" t="s">
        <v>110</v>
      </c>
      <c r="X281" s="70">
        <v>21</v>
      </c>
      <c r="Y281" s="70">
        <v>-1.2</v>
      </c>
      <c r="Z281" s="13">
        <v>21794</v>
      </c>
      <c r="AA281" s="13">
        <v>21815</v>
      </c>
      <c r="AB281" s="13">
        <v>21853</v>
      </c>
      <c r="AC281" s="13">
        <v>21853</v>
      </c>
      <c r="AD281" s="86">
        <v>6030</v>
      </c>
      <c r="AE281" s="86">
        <v>6030</v>
      </c>
      <c r="AF281" s="70" t="s">
        <v>3288</v>
      </c>
      <c r="AG281" s="17" t="s">
        <v>3289</v>
      </c>
      <c r="AH281" s="17" t="s">
        <v>94</v>
      </c>
      <c r="AI281" s="70" t="s">
        <v>94</v>
      </c>
      <c r="AJ281" s="17" t="s">
        <v>94</v>
      </c>
      <c r="AK281" s="17" t="s">
        <v>95</v>
      </c>
      <c r="AL281" s="17" t="s">
        <v>94</v>
      </c>
      <c r="AM281" s="17" t="s">
        <v>94</v>
      </c>
      <c r="AN281" s="17" t="s">
        <v>86</v>
      </c>
      <c r="AO281" s="17" t="s">
        <v>98</v>
      </c>
      <c r="AP281" s="17" t="s">
        <v>98</v>
      </c>
      <c r="AQ281" s="17" t="s">
        <v>98</v>
      </c>
      <c r="AR281" s="17" t="s">
        <v>94</v>
      </c>
      <c r="AS281" s="17" t="s">
        <v>3290</v>
      </c>
      <c r="AT281" s="17">
        <v>106</v>
      </c>
      <c r="AU281" s="30" t="s">
        <v>3291</v>
      </c>
      <c r="AV281" s="14">
        <v>5152</v>
      </c>
      <c r="AW281" s="74"/>
      <c r="AX281" s="1"/>
      <c r="AY281" s="17" t="s">
        <v>101</v>
      </c>
    </row>
    <row r="282" spans="1:51" ht="12.75" customHeight="1" x14ac:dyDescent="0.25">
      <c r="A282" s="5">
        <v>281</v>
      </c>
      <c r="B282" s="9">
        <v>281</v>
      </c>
      <c r="C282" s="9" t="s">
        <v>3292</v>
      </c>
      <c r="D282" s="57" t="str">
        <f>HYPERLINK("http://prodenv.dep.state.fl.us/DepNexus/public/electronic-documents/OG_281/facility!search","OG_281_Docs")</f>
        <v>OG_281_Docs</v>
      </c>
      <c r="E282" s="57" t="str">
        <f>HYPERLINK("https://ca.dep.state.fl.us/mapdirect/?focus=oilandgas&amp;zoom=query&amp;querytype=oilandgas&amp;queryvalues=OG_281","OG_281_Map")</f>
        <v>OG_281_Map</v>
      </c>
      <c r="F282" s="1" t="s">
        <v>191</v>
      </c>
      <c r="G282" s="1" t="s">
        <v>79</v>
      </c>
      <c r="H282" s="1" t="s">
        <v>3293</v>
      </c>
      <c r="I282" s="1" t="s">
        <v>3294</v>
      </c>
      <c r="J282" s="17" t="s">
        <v>82</v>
      </c>
      <c r="K282" s="17" t="s">
        <v>83</v>
      </c>
      <c r="L282" s="17"/>
      <c r="M282" s="17" t="s">
        <v>101</v>
      </c>
      <c r="N282" s="52" t="s">
        <v>3029</v>
      </c>
      <c r="O282" s="17" t="s">
        <v>609</v>
      </c>
      <c r="P282" s="17" t="s">
        <v>86</v>
      </c>
      <c r="Q282" s="81" t="s">
        <v>3295</v>
      </c>
      <c r="R282" s="11">
        <v>29.713369</v>
      </c>
      <c r="S282" s="11">
        <v>-84.774713000000006</v>
      </c>
      <c r="T282" s="11" t="s">
        <v>3296</v>
      </c>
      <c r="U282" s="11" t="s">
        <v>3297</v>
      </c>
      <c r="V282" s="17" t="s">
        <v>233</v>
      </c>
      <c r="W282" s="17" t="s">
        <v>110</v>
      </c>
      <c r="X282" s="70">
        <v>26</v>
      </c>
      <c r="Y282" s="70">
        <v>-5.5</v>
      </c>
      <c r="Z282" s="13">
        <v>21815</v>
      </c>
      <c r="AA282" s="13">
        <v>21834</v>
      </c>
      <c r="AB282" s="13">
        <v>21862</v>
      </c>
      <c r="AC282" s="13">
        <v>21862</v>
      </c>
      <c r="AD282" s="86">
        <v>7030</v>
      </c>
      <c r="AE282" s="86">
        <v>7030</v>
      </c>
      <c r="AF282" s="70" t="s">
        <v>3298</v>
      </c>
      <c r="AG282" s="17" t="s">
        <v>3299</v>
      </c>
      <c r="AH282" s="17" t="s">
        <v>3300</v>
      </c>
      <c r="AI282" s="70" t="s">
        <v>94</v>
      </c>
      <c r="AJ282" s="17" t="s">
        <v>94</v>
      </c>
      <c r="AK282" s="17" t="s">
        <v>94</v>
      </c>
      <c r="AL282" s="17" t="s">
        <v>3301</v>
      </c>
      <c r="AM282" s="17" t="s">
        <v>94</v>
      </c>
      <c r="AN282" s="17" t="s">
        <v>94</v>
      </c>
      <c r="AO282" s="17" t="s">
        <v>98</v>
      </c>
      <c r="AP282" s="17" t="s">
        <v>98</v>
      </c>
      <c r="AQ282" s="17" t="s">
        <v>98</v>
      </c>
      <c r="AR282" s="17" t="s">
        <v>94</v>
      </c>
      <c r="AS282" s="17" t="s">
        <v>3302</v>
      </c>
      <c r="AT282" s="17">
        <v>165</v>
      </c>
      <c r="AU282" s="30" t="s">
        <v>3303</v>
      </c>
      <c r="AV282" s="14">
        <v>5103</v>
      </c>
      <c r="AW282" s="74"/>
      <c r="AX282" s="1"/>
      <c r="AY282" s="17" t="s">
        <v>101</v>
      </c>
    </row>
    <row r="283" spans="1:51" ht="12.75" customHeight="1" x14ac:dyDescent="0.25">
      <c r="A283" s="5">
        <v>282</v>
      </c>
      <c r="B283" s="9">
        <v>282</v>
      </c>
      <c r="C283" s="9" t="s">
        <v>3304</v>
      </c>
      <c r="D283" s="57" t="str">
        <f>HYPERLINK("http://prodenv.dep.state.fl.us/DepNexus/public/electronic-documents/OG_282/facility!search","OG_282_Docs")</f>
        <v>OG_282_Docs</v>
      </c>
      <c r="E283" s="57" t="str">
        <f>HYPERLINK("https://ca.dep.state.fl.us/mapdirect/?focus=oilandgas&amp;zoom=query&amp;querytype=oilandgas&amp;queryvalues=OG_282","OG_282_Map")</f>
        <v>OG_282_Map</v>
      </c>
      <c r="F283" s="1" t="s">
        <v>265</v>
      </c>
      <c r="G283" s="1" t="s">
        <v>79</v>
      </c>
      <c r="H283" s="1" t="s">
        <v>176</v>
      </c>
      <c r="I283" s="1" t="s">
        <v>3305</v>
      </c>
      <c r="J283" s="17" t="s">
        <v>82</v>
      </c>
      <c r="K283" s="17" t="s">
        <v>83</v>
      </c>
      <c r="L283" s="17"/>
      <c r="M283" s="17"/>
      <c r="N283" s="52" t="s">
        <v>3193</v>
      </c>
      <c r="O283" s="17" t="s">
        <v>270</v>
      </c>
      <c r="P283" s="17" t="s">
        <v>86</v>
      </c>
      <c r="Q283" s="81" t="s">
        <v>3306</v>
      </c>
      <c r="R283" s="11">
        <v>26.297471999999999</v>
      </c>
      <c r="S283" s="11">
        <v>-81.468529000000004</v>
      </c>
      <c r="T283" s="11" t="s">
        <v>3307</v>
      </c>
      <c r="U283" s="11" t="s">
        <v>3308</v>
      </c>
      <c r="V283" s="17" t="s">
        <v>3309</v>
      </c>
      <c r="W283" s="17" t="s">
        <v>110</v>
      </c>
      <c r="X283" s="70">
        <v>33</v>
      </c>
      <c r="Y283" s="70">
        <v>20</v>
      </c>
      <c r="Z283" s="13">
        <v>21857</v>
      </c>
      <c r="AA283" s="13">
        <v>21857</v>
      </c>
      <c r="AB283" s="13">
        <v>21928</v>
      </c>
      <c r="AC283" s="13">
        <v>21928</v>
      </c>
      <c r="AD283" s="86">
        <v>12075</v>
      </c>
      <c r="AE283" s="86">
        <v>12075</v>
      </c>
      <c r="AF283" s="70" t="s">
        <v>3310</v>
      </c>
      <c r="AG283" s="17" t="s">
        <v>3311</v>
      </c>
      <c r="AH283" s="17" t="s">
        <v>3312</v>
      </c>
      <c r="AI283" s="70" t="s">
        <v>94</v>
      </c>
      <c r="AJ283" s="17" t="s">
        <v>94</v>
      </c>
      <c r="AK283" s="17" t="s">
        <v>95</v>
      </c>
      <c r="AL283" s="17" t="s">
        <v>95</v>
      </c>
      <c r="AM283" s="17" t="s">
        <v>94</v>
      </c>
      <c r="AN283" s="17" t="s">
        <v>3313</v>
      </c>
      <c r="AO283" s="17" t="s">
        <v>98</v>
      </c>
      <c r="AP283" s="17" t="s">
        <v>98</v>
      </c>
      <c r="AQ283" s="17" t="s">
        <v>98</v>
      </c>
      <c r="AR283" s="17" t="s">
        <v>94</v>
      </c>
      <c r="AS283" s="17" t="s">
        <v>3314</v>
      </c>
      <c r="AT283" s="17"/>
      <c r="AU283" s="30" t="s">
        <v>3315</v>
      </c>
      <c r="AV283" s="14">
        <v>5229</v>
      </c>
      <c r="AW283" s="74"/>
      <c r="AX283" s="1"/>
      <c r="AY283" s="17" t="s">
        <v>101</v>
      </c>
    </row>
    <row r="284" spans="1:51" ht="12.75" customHeight="1" x14ac:dyDescent="0.25">
      <c r="A284" s="5">
        <v>283</v>
      </c>
      <c r="B284" s="9">
        <v>283</v>
      </c>
      <c r="C284" s="9" t="s">
        <v>3316</v>
      </c>
      <c r="D284" s="57" t="str">
        <f>HYPERLINK("http://prodenv.dep.state.fl.us/DepNexus/public/electronic-documents/OG_283/facility!search","OG_283_Docs")</f>
        <v>OG_283_Docs</v>
      </c>
      <c r="E284" s="57" t="str">
        <f>HYPERLINK("https://ca.dep.state.fl.us/mapdirect/?focus=oilandgas&amp;zoom=query&amp;querytype=oilandgas&amp;queryvalues=OG_283","OG_283_Map")</f>
        <v>OG_283_Map</v>
      </c>
      <c r="F284" s="1" t="s">
        <v>1797</v>
      </c>
      <c r="G284" s="1" t="s">
        <v>79</v>
      </c>
      <c r="H284" s="1" t="s">
        <v>3317</v>
      </c>
      <c r="I284" s="1" t="s">
        <v>2688</v>
      </c>
      <c r="J284" s="17" t="s">
        <v>82</v>
      </c>
      <c r="K284" s="17" t="s">
        <v>83</v>
      </c>
      <c r="L284" s="17"/>
      <c r="M284" s="17"/>
      <c r="N284" s="52" t="s">
        <v>3193</v>
      </c>
      <c r="O284" s="17" t="s">
        <v>86</v>
      </c>
      <c r="P284" s="17" t="s">
        <v>86</v>
      </c>
      <c r="Q284" s="81" t="s">
        <v>3318</v>
      </c>
      <c r="R284" s="11">
        <v>30.938706</v>
      </c>
      <c r="S284" s="11">
        <v>-87.049932999999996</v>
      </c>
      <c r="T284" s="11" t="s">
        <v>3319</v>
      </c>
      <c r="U284" s="11" t="s">
        <v>3320</v>
      </c>
      <c r="V284" s="17" t="s">
        <v>3321</v>
      </c>
      <c r="W284" s="17" t="s">
        <v>110</v>
      </c>
      <c r="X284" s="70">
        <v>220</v>
      </c>
      <c r="Y284" s="70">
        <v>210</v>
      </c>
      <c r="Z284" s="13">
        <v>21878</v>
      </c>
      <c r="AA284" s="13">
        <v>21878</v>
      </c>
      <c r="AB284" s="13">
        <v>21896</v>
      </c>
      <c r="AC284" s="13">
        <v>21896</v>
      </c>
      <c r="AD284" s="86">
        <v>6437</v>
      </c>
      <c r="AE284" s="86">
        <v>6437</v>
      </c>
      <c r="AF284" s="70"/>
      <c r="AG284" s="17" t="s">
        <v>3322</v>
      </c>
      <c r="AH284" s="17" t="s">
        <v>94</v>
      </c>
      <c r="AI284" s="70" t="s">
        <v>94</v>
      </c>
      <c r="AJ284" s="17" t="s">
        <v>94</v>
      </c>
      <c r="AK284" s="17" t="s">
        <v>95</v>
      </c>
      <c r="AL284" s="17" t="s">
        <v>94</v>
      </c>
      <c r="AM284" s="17" t="s">
        <v>94</v>
      </c>
      <c r="AN284" s="17" t="s">
        <v>94</v>
      </c>
      <c r="AO284" s="17" t="s">
        <v>98</v>
      </c>
      <c r="AP284" s="17" t="s">
        <v>98</v>
      </c>
      <c r="AQ284" s="17" t="s">
        <v>98</v>
      </c>
      <c r="AR284" s="17" t="s">
        <v>94</v>
      </c>
      <c r="AS284" s="17" t="s">
        <v>3323</v>
      </c>
      <c r="AT284" s="17"/>
      <c r="AU284" s="30" t="s">
        <v>3324</v>
      </c>
      <c r="AV284" s="14">
        <v>5137</v>
      </c>
      <c r="AW284" s="74"/>
      <c r="AX284" s="1"/>
      <c r="AY284" s="17" t="s">
        <v>101</v>
      </c>
    </row>
    <row r="285" spans="1:51" ht="12.75" customHeight="1" x14ac:dyDescent="0.25">
      <c r="A285" s="5">
        <v>284</v>
      </c>
      <c r="B285" s="9">
        <v>284</v>
      </c>
      <c r="C285" s="9" t="s">
        <v>3325</v>
      </c>
      <c r="D285" s="57" t="str">
        <f>HYPERLINK("http://prodenv.dep.state.fl.us/DepNexus/public/electronic-documents/OG_284/facility!search","OG_284_Docs")</f>
        <v>OG_284_Docs</v>
      </c>
      <c r="E285" s="57" t="str">
        <f>HYPERLINK("https://ca.dep.state.fl.us/mapdirect/?focus=oilandgas&amp;zoom=query&amp;querytype=oilandgas&amp;queryvalues=OG_284","OG_284_Map")</f>
        <v>OG_284_Map</v>
      </c>
      <c r="F285" s="1" t="s">
        <v>290</v>
      </c>
      <c r="G285" s="1" t="s">
        <v>79</v>
      </c>
      <c r="H285" s="1" t="s">
        <v>229</v>
      </c>
      <c r="I285" s="1" t="s">
        <v>3326</v>
      </c>
      <c r="J285" s="17" t="s">
        <v>82</v>
      </c>
      <c r="K285" s="17" t="s">
        <v>83</v>
      </c>
      <c r="L285" s="17"/>
      <c r="M285" s="17" t="s">
        <v>101</v>
      </c>
      <c r="N285" s="52" t="s">
        <v>3327</v>
      </c>
      <c r="O285" s="17" t="s">
        <v>609</v>
      </c>
      <c r="P285" s="17" t="s">
        <v>86</v>
      </c>
      <c r="Q285" s="81" t="s">
        <v>609</v>
      </c>
      <c r="R285" s="11">
        <v>24.450416000000001</v>
      </c>
      <c r="S285" s="11">
        <v>-82.362342999999996</v>
      </c>
      <c r="T285" s="11" t="s">
        <v>3328</v>
      </c>
      <c r="U285" s="11" t="s">
        <v>3329</v>
      </c>
      <c r="V285" s="17" t="s">
        <v>233</v>
      </c>
      <c r="W285" s="17" t="s">
        <v>110</v>
      </c>
      <c r="X285" s="70">
        <v>72</v>
      </c>
      <c r="Y285" s="70">
        <v>-38</v>
      </c>
      <c r="Z285" s="13">
        <v>21927</v>
      </c>
      <c r="AA285" s="13">
        <v>21931</v>
      </c>
      <c r="AB285" s="13">
        <v>22033</v>
      </c>
      <c r="AC285" s="13">
        <v>22033</v>
      </c>
      <c r="AD285" s="86">
        <v>15294</v>
      </c>
      <c r="AE285" s="86">
        <v>15294</v>
      </c>
      <c r="AF285" s="70" t="s">
        <v>3330</v>
      </c>
      <c r="AG285" s="17" t="s">
        <v>3331</v>
      </c>
      <c r="AH285" s="17" t="s">
        <v>3332</v>
      </c>
      <c r="AI285" s="70" t="s">
        <v>94</v>
      </c>
      <c r="AJ285" s="17" t="s">
        <v>94</v>
      </c>
      <c r="AK285" s="17" t="s">
        <v>95</v>
      </c>
      <c r="AL285" s="17" t="s">
        <v>94</v>
      </c>
      <c r="AM285" s="17" t="s">
        <v>94</v>
      </c>
      <c r="AN285" s="17" t="s">
        <v>3333</v>
      </c>
      <c r="AO285" s="17" t="s">
        <v>98</v>
      </c>
      <c r="AP285" s="17" t="s">
        <v>98</v>
      </c>
      <c r="AQ285" s="17" t="s">
        <v>98</v>
      </c>
      <c r="AR285" s="17" t="s">
        <v>94</v>
      </c>
      <c r="AS285" s="17" t="s">
        <v>3334</v>
      </c>
      <c r="AT285" s="17">
        <v>156</v>
      </c>
      <c r="AU285" s="30" t="s">
        <v>3335</v>
      </c>
      <c r="AV285" s="14">
        <v>5327</v>
      </c>
      <c r="AW285" s="74"/>
      <c r="AX285" s="1"/>
      <c r="AY285" s="17" t="s">
        <v>101</v>
      </c>
    </row>
    <row r="286" spans="1:51" ht="12.75" customHeight="1" x14ac:dyDescent="0.25">
      <c r="A286" s="5">
        <v>285</v>
      </c>
      <c r="B286" s="9">
        <v>285</v>
      </c>
      <c r="C286" s="9" t="s">
        <v>3336</v>
      </c>
      <c r="D286" s="57" t="str">
        <f>HYPERLINK("http://prodenv.dep.state.fl.us/DepNexus/public/electronic-documents/OG_285/facility!search","OG_285_Docs")</f>
        <v>OG_285_Docs</v>
      </c>
      <c r="E286" s="57" t="str">
        <f>HYPERLINK("https://ca.dep.state.fl.us/mapdirect/?focus=oilandgas&amp;zoom=query&amp;querytype=oilandgas&amp;queryvalues=OG_285","OG_285_Map")</f>
        <v>OG_285_Map</v>
      </c>
      <c r="F286" s="1" t="s">
        <v>1041</v>
      </c>
      <c r="G286" s="1" t="s">
        <v>79</v>
      </c>
      <c r="H286" s="1" t="s">
        <v>3337</v>
      </c>
      <c r="I286" s="1" t="s">
        <v>3338</v>
      </c>
      <c r="J286" s="17" t="s">
        <v>82</v>
      </c>
      <c r="K286" s="17" t="s">
        <v>83</v>
      </c>
      <c r="L286" s="17"/>
      <c r="M286" s="17"/>
      <c r="N286" s="52" t="s">
        <v>86</v>
      </c>
      <c r="O286" s="17" t="s">
        <v>86</v>
      </c>
      <c r="P286" s="17" t="s">
        <v>86</v>
      </c>
      <c r="Q286" s="81" t="s">
        <v>3339</v>
      </c>
      <c r="R286" s="11">
        <v>29.852232000000001</v>
      </c>
      <c r="S286" s="11">
        <v>-82.635672999999997</v>
      </c>
      <c r="T286" s="11" t="s">
        <v>3340</v>
      </c>
      <c r="U286" s="11" t="s">
        <v>3341</v>
      </c>
      <c r="V286" s="17" t="s">
        <v>2320</v>
      </c>
      <c r="W286" s="17" t="s">
        <v>110</v>
      </c>
      <c r="X286" s="70"/>
      <c r="Y286" s="70"/>
      <c r="Z286" s="13">
        <v>22018</v>
      </c>
      <c r="AA286" s="13">
        <v>22076</v>
      </c>
      <c r="AB286" s="13">
        <v>22346</v>
      </c>
      <c r="AC286" s="13">
        <v>22346</v>
      </c>
      <c r="AD286" s="86">
        <v>160</v>
      </c>
      <c r="AE286" s="86">
        <v>160</v>
      </c>
      <c r="AF286" s="70" t="s">
        <v>94</v>
      </c>
      <c r="AG286" s="17" t="s">
        <v>94</v>
      </c>
      <c r="AH286" s="17" t="s">
        <v>94</v>
      </c>
      <c r="AI286" s="70" t="s">
        <v>94</v>
      </c>
      <c r="AJ286" s="17" t="s">
        <v>94</v>
      </c>
      <c r="AK286" s="17" t="s">
        <v>94</v>
      </c>
      <c r="AL286" s="17" t="s">
        <v>94</v>
      </c>
      <c r="AM286" s="17" t="s">
        <v>94</v>
      </c>
      <c r="AN286" s="17" t="s">
        <v>94</v>
      </c>
      <c r="AO286" s="17" t="s">
        <v>98</v>
      </c>
      <c r="AP286" s="17" t="s">
        <v>98</v>
      </c>
      <c r="AQ286" s="17" t="s">
        <v>98</v>
      </c>
      <c r="AR286" s="17" t="s">
        <v>94</v>
      </c>
      <c r="AS286" s="17" t="s">
        <v>3342</v>
      </c>
      <c r="AT286" s="17" t="s">
        <v>94</v>
      </c>
      <c r="AU286" s="30" t="s">
        <v>3343</v>
      </c>
      <c r="AV286" s="14" t="s">
        <v>94</v>
      </c>
      <c r="AW286" s="74"/>
      <c r="AX286" s="1" t="s">
        <v>3344</v>
      </c>
      <c r="AY286" s="17" t="s">
        <v>101</v>
      </c>
    </row>
    <row r="287" spans="1:51" ht="12.75" customHeight="1" x14ac:dyDescent="0.25">
      <c r="A287" s="5">
        <v>286</v>
      </c>
      <c r="B287" s="9">
        <v>286</v>
      </c>
      <c r="C287" s="9" t="s">
        <v>3345</v>
      </c>
      <c r="D287" s="57" t="str">
        <f>HYPERLINK("http://prodenv.dep.state.fl.us/DepNexus/public/electronic-documents/OG_286/facility!search","OG_286_Docs")</f>
        <v>OG_286_Docs</v>
      </c>
      <c r="E287" s="57" t="str">
        <f>HYPERLINK("https://ca.dep.state.fl.us/mapdirect/?focus=oilandgas&amp;zoom=query&amp;querytype=oilandgas&amp;queryvalues=OG_286","OG_286_Map")</f>
        <v>OG_286_Map</v>
      </c>
      <c r="F287" s="1" t="s">
        <v>1797</v>
      </c>
      <c r="G287" s="1" t="s">
        <v>79</v>
      </c>
      <c r="H287" s="1" t="s">
        <v>3346</v>
      </c>
      <c r="I287" s="1" t="s">
        <v>3347</v>
      </c>
      <c r="J287" s="17" t="s">
        <v>82</v>
      </c>
      <c r="K287" s="17" t="s">
        <v>83</v>
      </c>
      <c r="L287" s="17"/>
      <c r="M287" s="17"/>
      <c r="N287" s="52" t="s">
        <v>3193</v>
      </c>
      <c r="O287" s="17" t="s">
        <v>86</v>
      </c>
      <c r="P287" s="17" t="s">
        <v>86</v>
      </c>
      <c r="Q287" s="81" t="s">
        <v>3348</v>
      </c>
      <c r="R287" s="11">
        <v>30.819094</v>
      </c>
      <c r="S287" s="11">
        <v>-87.241457999999994</v>
      </c>
      <c r="T287" s="11" t="s">
        <v>3349</v>
      </c>
      <c r="U287" s="11" t="s">
        <v>3350</v>
      </c>
      <c r="V287" s="17" t="s">
        <v>2582</v>
      </c>
      <c r="W287" s="17" t="s">
        <v>110</v>
      </c>
      <c r="X287" s="70">
        <v>115</v>
      </c>
      <c r="Y287" s="70">
        <v>100</v>
      </c>
      <c r="Z287" s="13">
        <v>22074</v>
      </c>
      <c r="AA287" s="13">
        <v>22065</v>
      </c>
      <c r="AB287" s="13">
        <v>22109</v>
      </c>
      <c r="AC287" s="13">
        <v>22109</v>
      </c>
      <c r="AD287" s="86">
        <v>15523</v>
      </c>
      <c r="AE287" s="86">
        <v>15523</v>
      </c>
      <c r="AF287" s="70" t="s">
        <v>3351</v>
      </c>
      <c r="AG287" s="17" t="s">
        <v>3352</v>
      </c>
      <c r="AH287" s="17" t="s">
        <v>94</v>
      </c>
      <c r="AI287" s="70" t="s">
        <v>94</v>
      </c>
      <c r="AJ287" s="17" t="s">
        <v>94</v>
      </c>
      <c r="AK287" s="17" t="s">
        <v>95</v>
      </c>
      <c r="AL287" s="17" t="s">
        <v>94</v>
      </c>
      <c r="AM287" s="17" t="s">
        <v>94</v>
      </c>
      <c r="AN287" s="17" t="s">
        <v>94</v>
      </c>
      <c r="AO287" s="17" t="s">
        <v>98</v>
      </c>
      <c r="AP287" s="17" t="s">
        <v>98</v>
      </c>
      <c r="AQ287" s="17" t="s">
        <v>98</v>
      </c>
      <c r="AR287" s="17" t="s">
        <v>94</v>
      </c>
      <c r="AS287" s="17" t="s">
        <v>3353</v>
      </c>
      <c r="AT287" s="17"/>
      <c r="AU287" s="30" t="s">
        <v>3354</v>
      </c>
      <c r="AV287" s="14">
        <v>5560</v>
      </c>
      <c r="AW287" s="74"/>
      <c r="AX287" s="1"/>
      <c r="AY287" s="17" t="s">
        <v>101</v>
      </c>
    </row>
    <row r="288" spans="1:51" ht="12.75" customHeight="1" x14ac:dyDescent="0.25">
      <c r="A288" s="5">
        <v>288</v>
      </c>
      <c r="B288" s="9">
        <v>288</v>
      </c>
      <c r="C288" s="9" t="s">
        <v>3355</v>
      </c>
      <c r="D288" s="57" t="str">
        <f>HYPERLINK("http://prodenv.dep.state.fl.us/DepNexus/public/electronic-documents/OG_288/facility!search","OG_288_Docs")</f>
        <v>OG_288_Docs</v>
      </c>
      <c r="E288" s="57" t="str">
        <f>HYPERLINK("https://ca.dep.state.fl.us/mapdirect/?focus=oilandgas&amp;zoom=query&amp;querytype=oilandgas&amp;queryvalues=OG_288","OG_288_Map")</f>
        <v>OG_288_Map</v>
      </c>
      <c r="F288" s="1" t="s">
        <v>265</v>
      </c>
      <c r="G288" s="1" t="s">
        <v>79</v>
      </c>
      <c r="H288" s="1" t="s">
        <v>176</v>
      </c>
      <c r="I288" s="1" t="s">
        <v>3356</v>
      </c>
      <c r="J288" s="17" t="s">
        <v>82</v>
      </c>
      <c r="K288" s="17" t="s">
        <v>83</v>
      </c>
      <c r="L288" s="17"/>
      <c r="M288" s="17"/>
      <c r="N288" s="52" t="s">
        <v>3029</v>
      </c>
      <c r="O288" s="17" t="s">
        <v>270</v>
      </c>
      <c r="P288" s="17" t="s">
        <v>86</v>
      </c>
      <c r="Q288" s="81" t="s">
        <v>3357</v>
      </c>
      <c r="R288" s="11">
        <v>26.212392000000001</v>
      </c>
      <c r="S288" s="11">
        <v>-81.264037000000002</v>
      </c>
      <c r="T288" s="11" t="s">
        <v>3358</v>
      </c>
      <c r="U288" s="11" t="s">
        <v>3359</v>
      </c>
      <c r="V288" s="17" t="s">
        <v>3360</v>
      </c>
      <c r="W288" s="17" t="s">
        <v>110</v>
      </c>
      <c r="X288" s="70">
        <v>35</v>
      </c>
      <c r="Y288" s="70">
        <v>14</v>
      </c>
      <c r="Z288" s="13">
        <v>22102</v>
      </c>
      <c r="AA288" s="13">
        <v>22110</v>
      </c>
      <c r="AB288" s="13">
        <v>22288</v>
      </c>
      <c r="AC288" s="13">
        <v>22288</v>
      </c>
      <c r="AD288" s="86">
        <v>11646</v>
      </c>
      <c r="AE288" s="86">
        <v>11646</v>
      </c>
      <c r="AF288" s="70" t="s">
        <v>3361</v>
      </c>
      <c r="AG288" s="17" t="s">
        <v>3362</v>
      </c>
      <c r="AH288" s="17" t="s">
        <v>3363</v>
      </c>
      <c r="AI288" s="70" t="s">
        <v>3364</v>
      </c>
      <c r="AJ288" s="17" t="s">
        <v>94</v>
      </c>
      <c r="AK288" s="17" t="s">
        <v>95</v>
      </c>
      <c r="AL288" s="17" t="s">
        <v>95</v>
      </c>
      <c r="AM288" s="17" t="s">
        <v>94</v>
      </c>
      <c r="AN288" s="17" t="s">
        <v>3365</v>
      </c>
      <c r="AO288" s="17" t="s">
        <v>3366</v>
      </c>
      <c r="AP288" s="17" t="s">
        <v>3367</v>
      </c>
      <c r="AQ288" s="17" t="s">
        <v>3368</v>
      </c>
      <c r="AR288" s="17" t="s">
        <v>3369</v>
      </c>
      <c r="AS288" s="17" t="s">
        <v>3370</v>
      </c>
      <c r="AT288" s="17"/>
      <c r="AU288" s="30" t="s">
        <v>3371</v>
      </c>
      <c r="AV288" s="14">
        <v>5558</v>
      </c>
      <c r="AW288" s="74"/>
      <c r="AX288" s="1"/>
      <c r="AY288" s="17" t="s">
        <v>101</v>
      </c>
    </row>
    <row r="289" spans="1:51" ht="13.5" customHeight="1" x14ac:dyDescent="0.25">
      <c r="A289" s="5">
        <v>289</v>
      </c>
      <c r="B289" s="9">
        <v>289</v>
      </c>
      <c r="C289" s="9" t="s">
        <v>3372</v>
      </c>
      <c r="D289" s="57" t="str">
        <f>HYPERLINK("http://prodenv.dep.state.fl.us/DepNexus/public/electronic-documents/OG_289/facility!search","OG_289_Docs")</f>
        <v>OG_289_Docs</v>
      </c>
      <c r="E289" s="57" t="str">
        <f>HYPERLINK("https://ca.dep.state.fl.us/mapdirect/?focus=oilandgas&amp;zoom=query&amp;querytype=oilandgas&amp;queryvalues=OG_289","OG_289_Map")</f>
        <v>OG_289_Map</v>
      </c>
      <c r="F289" s="1" t="s">
        <v>2026</v>
      </c>
      <c r="G289" s="1" t="s">
        <v>79</v>
      </c>
      <c r="H289" s="1" t="s">
        <v>3293</v>
      </c>
      <c r="I289" s="1" t="s">
        <v>3373</v>
      </c>
      <c r="J289" s="17" t="s">
        <v>82</v>
      </c>
      <c r="K289" s="17" t="s">
        <v>83</v>
      </c>
      <c r="L289" s="17"/>
      <c r="M289" s="17" t="s">
        <v>101</v>
      </c>
      <c r="N289" s="52" t="s">
        <v>3374</v>
      </c>
      <c r="O289" s="17" t="s">
        <v>609</v>
      </c>
      <c r="P289" s="17" t="s">
        <v>86</v>
      </c>
      <c r="Q289" s="81" t="s">
        <v>609</v>
      </c>
      <c r="R289" s="11">
        <v>26.685631999999998</v>
      </c>
      <c r="S289" s="11">
        <v>-82.317279999999997</v>
      </c>
      <c r="T289" s="11" t="s">
        <v>3375</v>
      </c>
      <c r="U289" s="11" t="s">
        <v>3376</v>
      </c>
      <c r="V289" s="17" t="s">
        <v>233</v>
      </c>
      <c r="W289" s="17" t="s">
        <v>110</v>
      </c>
      <c r="X289" s="70">
        <v>39</v>
      </c>
      <c r="Y289" s="70">
        <v>-18</v>
      </c>
      <c r="Z289" s="13">
        <v>22123</v>
      </c>
      <c r="AA289" s="13">
        <v>22182</v>
      </c>
      <c r="AB289" s="13">
        <v>22242</v>
      </c>
      <c r="AC289" s="13">
        <v>22244</v>
      </c>
      <c r="AD289" s="86">
        <v>14000</v>
      </c>
      <c r="AE289" s="86">
        <v>14000</v>
      </c>
      <c r="AF289" s="70" t="s">
        <v>2979</v>
      </c>
      <c r="AG289" s="17" t="s">
        <v>3377</v>
      </c>
      <c r="AH289" s="17" t="s">
        <v>3378</v>
      </c>
      <c r="AI289" s="70" t="s">
        <v>3379</v>
      </c>
      <c r="AJ289" s="17" t="s">
        <v>94</v>
      </c>
      <c r="AK289" s="17" t="s">
        <v>95</v>
      </c>
      <c r="AL289" s="17" t="s">
        <v>95</v>
      </c>
      <c r="AM289" s="17" t="s">
        <v>95</v>
      </c>
      <c r="AN289" s="17" t="s">
        <v>3380</v>
      </c>
      <c r="AO289" s="17" t="s">
        <v>98</v>
      </c>
      <c r="AP289" s="17" t="s">
        <v>98</v>
      </c>
      <c r="AQ289" s="17" t="s">
        <v>98</v>
      </c>
      <c r="AR289" s="17" t="s">
        <v>94</v>
      </c>
      <c r="AS289" s="17" t="s">
        <v>3381</v>
      </c>
      <c r="AT289" s="17">
        <v>239</v>
      </c>
      <c r="AU289" s="30" t="s">
        <v>3382</v>
      </c>
      <c r="AV289" s="14">
        <v>5574</v>
      </c>
      <c r="AW289" s="74"/>
      <c r="AX289" s="1"/>
      <c r="AY289" s="17" t="s">
        <v>101</v>
      </c>
    </row>
    <row r="290" spans="1:51" ht="12.75" customHeight="1" x14ac:dyDescent="0.25">
      <c r="A290" s="5">
        <v>290</v>
      </c>
      <c r="B290" s="9">
        <v>290</v>
      </c>
      <c r="C290" s="9" t="s">
        <v>3383</v>
      </c>
      <c r="D290" s="57" t="str">
        <f>HYPERLINK("http://prodenv.dep.state.fl.us/DepNexus/public/electronic-documents/OG_290/facility!search","OG_290_Docs")</f>
        <v>OG_290_Docs</v>
      </c>
      <c r="E290" s="57" t="str">
        <f>HYPERLINK("https://ca.dep.state.fl.us/mapdirect/?focus=oilandgas&amp;zoom=query&amp;querytype=oilandgas&amp;queryvalues=OG_290","OG_290_Map")</f>
        <v>OG_290_Map</v>
      </c>
      <c r="F290" s="1" t="s">
        <v>290</v>
      </c>
      <c r="G290" s="1" t="s">
        <v>79</v>
      </c>
      <c r="H290" s="1" t="s">
        <v>3384</v>
      </c>
      <c r="I290" s="1" t="s">
        <v>3385</v>
      </c>
      <c r="J290" s="17" t="s">
        <v>82</v>
      </c>
      <c r="K290" s="17" t="s">
        <v>83</v>
      </c>
      <c r="L290" s="17"/>
      <c r="M290" s="17" t="s">
        <v>101</v>
      </c>
      <c r="N290" s="52" t="s">
        <v>3386</v>
      </c>
      <c r="O290" s="17" t="s">
        <v>609</v>
      </c>
      <c r="P290" s="17" t="s">
        <v>86</v>
      </c>
      <c r="Q290" s="81" t="s">
        <v>609</v>
      </c>
      <c r="R290" s="11">
        <v>24.421807000000001</v>
      </c>
      <c r="S290" s="11">
        <v>-82.600404999999995</v>
      </c>
      <c r="T290" s="11" t="s">
        <v>3387</v>
      </c>
      <c r="U290" s="11" t="s">
        <v>3388</v>
      </c>
      <c r="V290" s="17" t="s">
        <v>233</v>
      </c>
      <c r="W290" s="17" t="s">
        <v>110</v>
      </c>
      <c r="X290" s="70">
        <v>36</v>
      </c>
      <c r="Y290" s="70">
        <v>-60</v>
      </c>
      <c r="Z290" s="13">
        <v>22200</v>
      </c>
      <c r="AA290" s="13">
        <v>22232</v>
      </c>
      <c r="AB290" s="13">
        <v>22355</v>
      </c>
      <c r="AC290" s="13">
        <v>22355</v>
      </c>
      <c r="AD290" s="86">
        <v>4687</v>
      </c>
      <c r="AE290" s="86">
        <v>4687</v>
      </c>
      <c r="AF290" s="70" t="s">
        <v>3389</v>
      </c>
      <c r="AG290" s="17" t="s">
        <v>3390</v>
      </c>
      <c r="AH290" s="17" t="s">
        <v>94</v>
      </c>
      <c r="AI290" s="70" t="s">
        <v>94</v>
      </c>
      <c r="AJ290" s="17" t="s">
        <v>94</v>
      </c>
      <c r="AK290" s="17" t="s">
        <v>95</v>
      </c>
      <c r="AL290" s="17" t="s">
        <v>94</v>
      </c>
      <c r="AM290" s="17" t="s">
        <v>94</v>
      </c>
      <c r="AN290" s="17" t="s">
        <v>86</v>
      </c>
      <c r="AO290" s="17" t="s">
        <v>98</v>
      </c>
      <c r="AP290" s="17" t="s">
        <v>98</v>
      </c>
      <c r="AQ290" s="17" t="s">
        <v>98</v>
      </c>
      <c r="AR290" s="17" t="s">
        <v>94</v>
      </c>
      <c r="AS290" s="17" t="s">
        <v>3391</v>
      </c>
      <c r="AT290" s="17"/>
      <c r="AU290" s="30" t="s">
        <v>3392</v>
      </c>
      <c r="AV290" s="14">
        <v>5714</v>
      </c>
      <c r="AW290" s="74"/>
      <c r="AX290" s="1"/>
      <c r="AY290" s="17" t="s">
        <v>101</v>
      </c>
    </row>
    <row r="291" spans="1:51" ht="12.75" customHeight="1" x14ac:dyDescent="0.25">
      <c r="A291" s="5">
        <v>291</v>
      </c>
      <c r="B291" s="9">
        <v>291</v>
      </c>
      <c r="C291" s="9" t="s">
        <v>3393</v>
      </c>
      <c r="D291" s="57" t="str">
        <f>HYPERLINK("http://prodenv.dep.state.fl.us/DepNexus/public/electronic-documents/OG_291/facility!search","OG_291_Docs")</f>
        <v>OG_291_Docs</v>
      </c>
      <c r="E291" s="57" t="str">
        <f>HYPERLINK("https://ca.dep.state.fl.us/mapdirect/?focus=oilandgas&amp;zoom=query&amp;querytype=oilandgas&amp;queryvalues=OG_291","OG_291_Map")</f>
        <v>OG_291_Map</v>
      </c>
      <c r="F291" s="1" t="s">
        <v>265</v>
      </c>
      <c r="G291" s="1" t="s">
        <v>79</v>
      </c>
      <c r="H291" s="1" t="s">
        <v>176</v>
      </c>
      <c r="I291" s="1" t="s">
        <v>3394</v>
      </c>
      <c r="J291" s="17" t="s">
        <v>82</v>
      </c>
      <c r="K291" s="17" t="s">
        <v>83</v>
      </c>
      <c r="L291" s="17"/>
      <c r="M291" s="17"/>
      <c r="N291" s="52" t="s">
        <v>3193</v>
      </c>
      <c r="O291" s="17" t="s">
        <v>270</v>
      </c>
      <c r="P291" s="17" t="s">
        <v>3395</v>
      </c>
      <c r="Q291" s="81" t="s">
        <v>3396</v>
      </c>
      <c r="R291" s="11">
        <v>26.220514000000001</v>
      </c>
      <c r="S291" s="11">
        <v>-81.257099999999994</v>
      </c>
      <c r="T291" s="11" t="s">
        <v>3397</v>
      </c>
      <c r="U291" s="11" t="s">
        <v>3398</v>
      </c>
      <c r="V291" s="17" t="s">
        <v>3399</v>
      </c>
      <c r="W291" s="17" t="s">
        <v>110</v>
      </c>
      <c r="X291" s="70">
        <v>35</v>
      </c>
      <c r="Y291" s="70">
        <v>14</v>
      </c>
      <c r="Z291" s="13">
        <v>22207</v>
      </c>
      <c r="AA291" s="13">
        <v>22235</v>
      </c>
      <c r="AB291" s="13">
        <v>22323</v>
      </c>
      <c r="AC291" s="13">
        <v>22323</v>
      </c>
      <c r="AD291" s="86">
        <v>12961</v>
      </c>
      <c r="AE291" s="86">
        <v>12961</v>
      </c>
      <c r="AF291" s="70" t="s">
        <v>3400</v>
      </c>
      <c r="AG291" s="17" t="s">
        <v>3401</v>
      </c>
      <c r="AH291" s="17" t="s">
        <v>3402</v>
      </c>
      <c r="AI291" s="70" t="s">
        <v>94</v>
      </c>
      <c r="AJ291" s="17" t="s">
        <v>94</v>
      </c>
      <c r="AK291" s="17" t="s">
        <v>95</v>
      </c>
      <c r="AL291" s="17" t="s">
        <v>95</v>
      </c>
      <c r="AM291" s="17" t="s">
        <v>95</v>
      </c>
      <c r="AN291" s="17" t="s">
        <v>3403</v>
      </c>
      <c r="AO291" s="17" t="s">
        <v>98</v>
      </c>
      <c r="AP291" s="17" t="s">
        <v>98</v>
      </c>
      <c r="AQ291" s="17" t="s">
        <v>98</v>
      </c>
      <c r="AR291" s="17" t="s">
        <v>3404</v>
      </c>
      <c r="AS291" s="17" t="s">
        <v>3405</v>
      </c>
      <c r="AT291" s="17"/>
      <c r="AU291" s="30" t="s">
        <v>3406</v>
      </c>
      <c r="AV291" s="14">
        <v>5692</v>
      </c>
      <c r="AW291" s="74"/>
      <c r="AX291" s="1"/>
      <c r="AY291" s="17" t="s">
        <v>101</v>
      </c>
    </row>
    <row r="292" spans="1:51" ht="12.75" customHeight="1" x14ac:dyDescent="0.25">
      <c r="A292" s="5">
        <v>292</v>
      </c>
      <c r="B292" s="9">
        <v>292</v>
      </c>
      <c r="C292" s="9" t="s">
        <v>3407</v>
      </c>
      <c r="D292" s="57" t="str">
        <f>HYPERLINK("http://prodenv.dep.state.fl.us/DepNexus/public/electronic-documents/OG_292/facility!search","OG_292_Docs")</f>
        <v>OG_292_Docs</v>
      </c>
      <c r="E292" s="57" t="str">
        <f>HYPERLINK("https://ca.dep.state.fl.us/mapdirect/?focus=oilandgas&amp;zoom=query&amp;querytype=oilandgas&amp;queryvalues=OG_292","OG_292_Map")</f>
        <v>OG_292_Map</v>
      </c>
      <c r="F292" s="1" t="s">
        <v>290</v>
      </c>
      <c r="G292" s="1" t="s">
        <v>79</v>
      </c>
      <c r="H292" s="1" t="s">
        <v>1960</v>
      </c>
      <c r="I292" s="1" t="s">
        <v>3408</v>
      </c>
      <c r="J292" s="17" t="s">
        <v>82</v>
      </c>
      <c r="K292" s="17" t="s">
        <v>83</v>
      </c>
      <c r="L292" s="17"/>
      <c r="M292" s="17" t="s">
        <v>101</v>
      </c>
      <c r="N292" s="52" t="s">
        <v>2441</v>
      </c>
      <c r="O292" s="17" t="s">
        <v>609</v>
      </c>
      <c r="P292" s="17" t="s">
        <v>86</v>
      </c>
      <c r="Q292" s="81" t="s">
        <v>609</v>
      </c>
      <c r="R292" s="11">
        <v>24.536524</v>
      </c>
      <c r="S292" s="11">
        <v>-82.110947999999993</v>
      </c>
      <c r="T292" s="11" t="s">
        <v>3409</v>
      </c>
      <c r="U292" s="11" t="s">
        <v>3410</v>
      </c>
      <c r="V292" s="17" t="s">
        <v>233</v>
      </c>
      <c r="W292" s="17" t="s">
        <v>110</v>
      </c>
      <c r="X292" s="70">
        <v>35</v>
      </c>
      <c r="Y292" s="70">
        <v>0</v>
      </c>
      <c r="Z292" s="13">
        <v>22593</v>
      </c>
      <c r="AA292" s="13">
        <v>22289</v>
      </c>
      <c r="AB292" s="13">
        <v>22331</v>
      </c>
      <c r="AC292" s="13">
        <v>22332</v>
      </c>
      <c r="AD292" s="86">
        <v>7723</v>
      </c>
      <c r="AE292" s="86">
        <v>7723</v>
      </c>
      <c r="AF292" s="70" t="s">
        <v>3411</v>
      </c>
      <c r="AG292" s="17" t="s">
        <v>3412</v>
      </c>
      <c r="AH292" s="17" t="s">
        <v>94</v>
      </c>
      <c r="AI292" s="70" t="s">
        <v>94</v>
      </c>
      <c r="AJ292" s="17" t="s">
        <v>94</v>
      </c>
      <c r="AK292" s="17" t="s">
        <v>95</v>
      </c>
      <c r="AL292" s="17" t="s">
        <v>94</v>
      </c>
      <c r="AM292" s="17" t="s">
        <v>94</v>
      </c>
      <c r="AN292" s="17" t="s">
        <v>94</v>
      </c>
      <c r="AO292" s="17" t="s">
        <v>98</v>
      </c>
      <c r="AP292" s="17" t="s">
        <v>98</v>
      </c>
      <c r="AQ292" s="17" t="s">
        <v>98</v>
      </c>
      <c r="AR292" s="17" t="s">
        <v>94</v>
      </c>
      <c r="AS292" s="17" t="s">
        <v>3413</v>
      </c>
      <c r="AT292" s="17">
        <v>110</v>
      </c>
      <c r="AU292" s="30" t="s">
        <v>3414</v>
      </c>
      <c r="AV292" s="14">
        <v>5713</v>
      </c>
      <c r="AW292" s="74"/>
      <c r="AX292" s="1"/>
      <c r="AY292" s="17" t="s">
        <v>101</v>
      </c>
    </row>
    <row r="293" spans="1:51" ht="12.75" customHeight="1" x14ac:dyDescent="0.25">
      <c r="A293" s="5">
        <v>293</v>
      </c>
      <c r="B293" s="9">
        <v>293</v>
      </c>
      <c r="C293" s="9" t="s">
        <v>3415</v>
      </c>
      <c r="D293" s="57" t="str">
        <f>HYPERLINK("http://prodenv.dep.state.fl.us/DepNexus/public/electronic-documents/OG_293/facility!search","OG_293_Docs")</f>
        <v>OG_293_Docs</v>
      </c>
      <c r="E293" s="57" t="str">
        <f>HYPERLINK("https://ca.dep.state.fl.us/mapdirect/?focus=oilandgas&amp;zoom=query&amp;querytype=oilandgas&amp;queryvalues=OG_293","OG_293_Map")</f>
        <v>OG_293_Map</v>
      </c>
      <c r="F293" s="1" t="s">
        <v>8909</v>
      </c>
      <c r="G293" s="1" t="s">
        <v>79</v>
      </c>
      <c r="H293" s="1" t="s">
        <v>3293</v>
      </c>
      <c r="I293" s="1" t="s">
        <v>3416</v>
      </c>
      <c r="J293" s="17" t="s">
        <v>82</v>
      </c>
      <c r="K293" s="17" t="s">
        <v>83</v>
      </c>
      <c r="L293" s="17"/>
      <c r="M293" s="17" t="s">
        <v>101</v>
      </c>
      <c r="N293" s="52" t="s">
        <v>3029</v>
      </c>
      <c r="O293" s="17" t="s">
        <v>609</v>
      </c>
      <c r="P293" s="17" t="s">
        <v>86</v>
      </c>
      <c r="Q293" s="81" t="s">
        <v>609</v>
      </c>
      <c r="R293" s="11">
        <v>29.791767</v>
      </c>
      <c r="S293" s="11">
        <v>-84.378376000000003</v>
      </c>
      <c r="T293" s="11" t="s">
        <v>3417</v>
      </c>
      <c r="U293" s="11" t="s">
        <v>3418</v>
      </c>
      <c r="V293" s="17" t="s">
        <v>233</v>
      </c>
      <c r="W293" s="17"/>
      <c r="X293" s="70">
        <v>34</v>
      </c>
      <c r="Y293" s="70">
        <v>-22</v>
      </c>
      <c r="Z293" s="13">
        <v>22228</v>
      </c>
      <c r="AA293" s="13">
        <v>22248</v>
      </c>
      <c r="AB293" s="13">
        <v>22288</v>
      </c>
      <c r="AC293" s="13">
        <v>22288</v>
      </c>
      <c r="AD293" s="86">
        <v>10560</v>
      </c>
      <c r="AE293" s="86">
        <v>10560</v>
      </c>
      <c r="AF293" s="70" t="s">
        <v>3419</v>
      </c>
      <c r="AG293" s="17" t="s">
        <v>3420</v>
      </c>
      <c r="AH293" s="17" t="s">
        <v>3421</v>
      </c>
      <c r="AI293" s="70" t="s">
        <v>94</v>
      </c>
      <c r="AJ293" s="17" t="s">
        <v>94</v>
      </c>
      <c r="AK293" s="17" t="s">
        <v>95</v>
      </c>
      <c r="AL293" s="17" t="s">
        <v>94</v>
      </c>
      <c r="AM293" s="17" t="s">
        <v>94</v>
      </c>
      <c r="AN293" s="17" t="s">
        <v>94</v>
      </c>
      <c r="AO293" s="17" t="s">
        <v>98</v>
      </c>
      <c r="AP293" s="17" t="s">
        <v>98</v>
      </c>
      <c r="AQ293" s="17" t="s">
        <v>98</v>
      </c>
      <c r="AR293" s="17" t="s">
        <v>94</v>
      </c>
      <c r="AS293" s="17" t="s">
        <v>3422</v>
      </c>
      <c r="AT293" s="17">
        <v>179</v>
      </c>
      <c r="AU293" s="30" t="s">
        <v>3423</v>
      </c>
      <c r="AV293" s="14">
        <v>5654</v>
      </c>
      <c r="AW293" s="74"/>
      <c r="AX293" s="1"/>
      <c r="AY293" s="17" t="s">
        <v>101</v>
      </c>
    </row>
    <row r="294" spans="1:51" ht="12.75" customHeight="1" x14ac:dyDescent="0.25">
      <c r="A294" s="5">
        <v>294</v>
      </c>
      <c r="B294" s="9">
        <v>294</v>
      </c>
      <c r="C294" s="9" t="s">
        <v>3424</v>
      </c>
      <c r="D294" s="57" t="str">
        <f>HYPERLINK("http://prodenv.dep.state.fl.us/DepNexus/public/electronic-documents/OG_294/facility!search","OG_294_Docs")</f>
        <v>OG_294_Docs</v>
      </c>
      <c r="E294" s="57" t="str">
        <f>HYPERLINK("https://ca.dep.state.fl.us/mapdirect/?focus=oilandgas&amp;zoom=query&amp;querytype=oilandgas&amp;queryvalues=OG_294","OG_294_Map")</f>
        <v>OG_294_Map</v>
      </c>
      <c r="F294" s="1" t="s">
        <v>1682</v>
      </c>
      <c r="G294" s="1" t="s">
        <v>79</v>
      </c>
      <c r="H294" s="1" t="s">
        <v>3425</v>
      </c>
      <c r="I294" s="1" t="s">
        <v>3426</v>
      </c>
      <c r="J294" s="17" t="s">
        <v>82</v>
      </c>
      <c r="K294" s="17" t="s">
        <v>83</v>
      </c>
      <c r="L294" s="17"/>
      <c r="M294" s="17" t="s">
        <v>101</v>
      </c>
      <c r="N294" s="52" t="s">
        <v>130</v>
      </c>
      <c r="O294" s="17" t="s">
        <v>86</v>
      </c>
      <c r="P294" s="17" t="s">
        <v>86</v>
      </c>
      <c r="Q294" s="81" t="s">
        <v>3427</v>
      </c>
      <c r="R294" s="11">
        <v>30.437109</v>
      </c>
      <c r="S294" s="11">
        <v>-87.174411000000006</v>
      </c>
      <c r="T294" s="11" t="s">
        <v>3428</v>
      </c>
      <c r="U294" s="11" t="s">
        <v>3429</v>
      </c>
      <c r="V294" s="17" t="s">
        <v>3430</v>
      </c>
      <c r="W294" s="17" t="s">
        <v>110</v>
      </c>
      <c r="X294" s="70"/>
      <c r="Y294" s="70">
        <v>48.28</v>
      </c>
      <c r="Z294" s="13">
        <v>22263</v>
      </c>
      <c r="AA294" s="13">
        <v>22277</v>
      </c>
      <c r="AB294" s="13">
        <v>22302</v>
      </c>
      <c r="AC294" s="13">
        <v>22302</v>
      </c>
      <c r="AD294" s="86">
        <v>7043</v>
      </c>
      <c r="AE294" s="86">
        <v>7043</v>
      </c>
      <c r="AF294" s="70" t="s">
        <v>3431</v>
      </c>
      <c r="AG294" s="17" t="s">
        <v>3432</v>
      </c>
      <c r="AH294" s="17" t="s">
        <v>94</v>
      </c>
      <c r="AI294" s="70" t="s">
        <v>94</v>
      </c>
      <c r="AJ294" s="17" t="s">
        <v>94</v>
      </c>
      <c r="AK294" s="17" t="s">
        <v>95</v>
      </c>
      <c r="AL294" s="17" t="s">
        <v>94</v>
      </c>
      <c r="AM294" s="17" t="s">
        <v>94</v>
      </c>
      <c r="AN294" s="17" t="s">
        <v>94</v>
      </c>
      <c r="AO294" s="17" t="s">
        <v>98</v>
      </c>
      <c r="AP294" s="17" t="s">
        <v>98</v>
      </c>
      <c r="AQ294" s="17" t="s">
        <v>98</v>
      </c>
      <c r="AR294" s="17" t="s">
        <v>94</v>
      </c>
      <c r="AS294" s="17" t="s">
        <v>3433</v>
      </c>
      <c r="AT294" s="17">
        <v>154</v>
      </c>
      <c r="AU294" s="30" t="s">
        <v>3434</v>
      </c>
      <c r="AV294" s="14">
        <v>5715</v>
      </c>
      <c r="AW294" s="74"/>
      <c r="AX294" s="1"/>
      <c r="AY294" s="17" t="s">
        <v>101</v>
      </c>
    </row>
    <row r="295" spans="1:51" ht="12.75" customHeight="1" x14ac:dyDescent="0.25">
      <c r="A295" s="5">
        <v>295</v>
      </c>
      <c r="B295" s="9">
        <v>295</v>
      </c>
      <c r="C295" s="9" t="s">
        <v>3435</v>
      </c>
      <c r="D295" s="57" t="str">
        <f>HYPERLINK("http://prodenv.dep.state.fl.us/DepNexus/public/electronic-documents/OG_295/facility!search","OG_295_Docs")</f>
        <v>OG_295_Docs</v>
      </c>
      <c r="E295" s="57" t="str">
        <f>HYPERLINK("https://ca.dep.state.fl.us/mapdirect/?focus=oilandgas&amp;zoom=query&amp;querytype=oilandgas&amp;queryvalues=OG_295","OG_295_Map")</f>
        <v>OG_295_Map</v>
      </c>
      <c r="F295" s="1" t="s">
        <v>290</v>
      </c>
      <c r="G295" s="1" t="s">
        <v>79</v>
      </c>
      <c r="H295" s="1" t="s">
        <v>1960</v>
      </c>
      <c r="I295" s="1" t="s">
        <v>3436</v>
      </c>
      <c r="J295" s="17" t="s">
        <v>207</v>
      </c>
      <c r="K295" s="17" t="s">
        <v>208</v>
      </c>
      <c r="L295" s="17"/>
      <c r="M295" s="17" t="s">
        <v>207</v>
      </c>
      <c r="N295" s="52" t="s">
        <v>86</v>
      </c>
      <c r="O295" s="17" t="s">
        <v>609</v>
      </c>
      <c r="P295" s="17" t="s">
        <v>86</v>
      </c>
      <c r="Q295" s="81" t="s">
        <v>609</v>
      </c>
      <c r="R295" s="11">
        <v>24.435694999999999</v>
      </c>
      <c r="S295" s="11">
        <v>-82.493458000000004</v>
      </c>
      <c r="T295" s="11" t="s">
        <v>3437</v>
      </c>
      <c r="U295" s="11" t="s">
        <v>3438</v>
      </c>
      <c r="V295" s="17" t="s">
        <v>233</v>
      </c>
      <c r="W295" s="17" t="s">
        <v>110</v>
      </c>
      <c r="X295" s="70"/>
      <c r="Y295" s="70"/>
      <c r="Z295" s="13">
        <v>22263</v>
      </c>
      <c r="AA295" s="13"/>
      <c r="AB295" s="13"/>
      <c r="AC295" s="13"/>
      <c r="AD295" s="86"/>
      <c r="AE295" s="70"/>
      <c r="AF295" s="70" t="s">
        <v>207</v>
      </c>
      <c r="AG295" s="17" t="s">
        <v>207</v>
      </c>
      <c r="AH295" s="17" t="s">
        <v>207</v>
      </c>
      <c r="AI295" s="70" t="s">
        <v>207</v>
      </c>
      <c r="AJ295" s="17" t="s">
        <v>207</v>
      </c>
      <c r="AK295" s="17" t="s">
        <v>207</v>
      </c>
      <c r="AL295" s="17" t="s">
        <v>207</v>
      </c>
      <c r="AM295" s="17" t="s">
        <v>207</v>
      </c>
      <c r="AN295" s="17" t="s">
        <v>207</v>
      </c>
      <c r="AO295" s="17" t="s">
        <v>207</v>
      </c>
      <c r="AP295" s="17" t="s">
        <v>207</v>
      </c>
      <c r="AQ295" s="17" t="s">
        <v>207</v>
      </c>
      <c r="AR295" s="17" t="s">
        <v>207</v>
      </c>
      <c r="AS295" s="17" t="s">
        <v>207</v>
      </c>
      <c r="AT295" s="17" t="s">
        <v>207</v>
      </c>
      <c r="AU295" s="30" t="s">
        <v>3439</v>
      </c>
      <c r="AV295" s="14" t="s">
        <v>207</v>
      </c>
      <c r="AW295" s="74"/>
      <c r="AX295" s="1"/>
      <c r="AY295" s="17" t="s">
        <v>101</v>
      </c>
    </row>
    <row r="296" spans="1:51" ht="12.75" customHeight="1" x14ac:dyDescent="0.25">
      <c r="A296" s="5">
        <v>296</v>
      </c>
      <c r="B296" s="9">
        <v>296</v>
      </c>
      <c r="C296" s="9" t="s">
        <v>3440</v>
      </c>
      <c r="D296" s="57" t="str">
        <f>HYPERLINK("http://prodenv.dep.state.fl.us/DepNexus/public/electronic-documents/OG_296/facility!search","OG_296_Docs")</f>
        <v>OG_296_Docs</v>
      </c>
      <c r="E296" s="57" t="str">
        <f>HYPERLINK("https://ca.dep.state.fl.us/mapdirect/?focus=oilandgas&amp;zoom=query&amp;querytype=oilandgas&amp;queryvalues=OG_296","OG_296_Map")</f>
        <v>OG_296_Map</v>
      </c>
      <c r="F296" s="1" t="s">
        <v>290</v>
      </c>
      <c r="G296" s="1" t="s">
        <v>79</v>
      </c>
      <c r="H296" s="1" t="s">
        <v>229</v>
      </c>
      <c r="I296" s="1" t="s">
        <v>3441</v>
      </c>
      <c r="J296" s="17" t="s">
        <v>82</v>
      </c>
      <c r="K296" s="17" t="s">
        <v>83</v>
      </c>
      <c r="L296" s="17"/>
      <c r="M296" s="17" t="s">
        <v>101</v>
      </c>
      <c r="N296" s="52" t="s">
        <v>3442</v>
      </c>
      <c r="O296" s="17" t="s">
        <v>609</v>
      </c>
      <c r="P296" s="17" t="s">
        <v>86</v>
      </c>
      <c r="Q296" s="81" t="s">
        <v>609</v>
      </c>
      <c r="R296" s="11">
        <v>24.434376</v>
      </c>
      <c r="S296" s="11">
        <v>-82.491675999999998</v>
      </c>
      <c r="T296" s="11" t="s">
        <v>3443</v>
      </c>
      <c r="U296" s="11" t="s">
        <v>3444</v>
      </c>
      <c r="V296" s="17" t="s">
        <v>233</v>
      </c>
      <c r="W296" s="17" t="s">
        <v>110</v>
      </c>
      <c r="X296" s="70">
        <v>34</v>
      </c>
      <c r="Y296" s="70">
        <v>0</v>
      </c>
      <c r="Z296" s="13">
        <v>22403</v>
      </c>
      <c r="AA296" s="13">
        <v>22493</v>
      </c>
      <c r="AB296" s="13">
        <v>22542</v>
      </c>
      <c r="AC296" s="13">
        <v>22542</v>
      </c>
      <c r="AD296" s="86">
        <v>7871</v>
      </c>
      <c r="AE296" s="86">
        <v>7871</v>
      </c>
      <c r="AF296" s="70" t="s">
        <v>3445</v>
      </c>
      <c r="AG296" s="17" t="s">
        <v>3446</v>
      </c>
      <c r="AH296" s="17" t="s">
        <v>94</v>
      </c>
      <c r="AI296" s="70" t="s">
        <v>94</v>
      </c>
      <c r="AJ296" s="17" t="s">
        <v>94</v>
      </c>
      <c r="AK296" s="17" t="s">
        <v>95</v>
      </c>
      <c r="AL296" s="17" t="s">
        <v>86</v>
      </c>
      <c r="AM296" s="17" t="s">
        <v>94</v>
      </c>
      <c r="AN296" s="17" t="s">
        <v>86</v>
      </c>
      <c r="AO296" s="17" t="s">
        <v>98</v>
      </c>
      <c r="AP296" s="17" t="s">
        <v>98</v>
      </c>
      <c r="AQ296" s="17" t="s">
        <v>98</v>
      </c>
      <c r="AR296" s="17" t="s">
        <v>94</v>
      </c>
      <c r="AS296" s="17" t="s">
        <v>3447</v>
      </c>
      <c r="AT296" s="17">
        <v>110</v>
      </c>
      <c r="AU296" s="30" t="s">
        <v>3448</v>
      </c>
      <c r="AV296" s="14">
        <v>6148</v>
      </c>
      <c r="AW296" s="74"/>
      <c r="AX296" s="1"/>
      <c r="AY296" s="17" t="s">
        <v>101</v>
      </c>
    </row>
    <row r="297" spans="1:51" ht="12.75" customHeight="1" x14ac:dyDescent="0.25">
      <c r="A297" s="5">
        <v>297</v>
      </c>
      <c r="B297" s="9">
        <v>297</v>
      </c>
      <c r="C297" s="9" t="s">
        <v>3449</v>
      </c>
      <c r="D297" s="57" t="str">
        <f>HYPERLINK("http://prodenv.dep.state.fl.us/DepNexus/public/electronic-documents/OG_297/facility!search","OG_297_Docs")</f>
        <v>OG_297_Docs</v>
      </c>
      <c r="E297" s="57" t="str">
        <f>HYPERLINK("https://ca.dep.state.fl.us/mapdirect/?focus=oilandgas&amp;zoom=query&amp;querytype=oilandgas&amp;queryvalues=OG_297","OG_297_Map")</f>
        <v>OG_297_Map</v>
      </c>
      <c r="F297" s="1" t="s">
        <v>2026</v>
      </c>
      <c r="G297" s="1" t="s">
        <v>79</v>
      </c>
      <c r="H297" s="1" t="s">
        <v>1960</v>
      </c>
      <c r="I297" s="1" t="s">
        <v>3450</v>
      </c>
      <c r="J297" s="17" t="s">
        <v>82</v>
      </c>
      <c r="K297" s="17" t="s">
        <v>83</v>
      </c>
      <c r="L297" s="17"/>
      <c r="M297" s="17" t="s">
        <v>101</v>
      </c>
      <c r="N297" s="52" t="s">
        <v>3451</v>
      </c>
      <c r="O297" s="17" t="s">
        <v>609</v>
      </c>
      <c r="P297" s="17" t="s">
        <v>86</v>
      </c>
      <c r="Q297" s="81" t="s">
        <v>609</v>
      </c>
      <c r="R297" s="11">
        <v>26.71866</v>
      </c>
      <c r="S297" s="11">
        <v>-82.286505000000005</v>
      </c>
      <c r="T297" s="11" t="s">
        <v>3452</v>
      </c>
      <c r="U297" s="11" t="s">
        <v>3453</v>
      </c>
      <c r="V297" s="17" t="s">
        <v>233</v>
      </c>
      <c r="W297" s="17" t="s">
        <v>110</v>
      </c>
      <c r="X297" s="70">
        <v>39.5</v>
      </c>
      <c r="Y297" s="70">
        <v>-17.5</v>
      </c>
      <c r="Z297" s="13">
        <v>22501</v>
      </c>
      <c r="AA297" s="13">
        <v>22522</v>
      </c>
      <c r="AB297" s="13">
        <v>22574</v>
      </c>
      <c r="AC297" s="13">
        <v>22576</v>
      </c>
      <c r="AD297" s="86">
        <v>12600</v>
      </c>
      <c r="AE297" s="86">
        <v>12600</v>
      </c>
      <c r="AF297" s="70" t="s">
        <v>3454</v>
      </c>
      <c r="AG297" s="17" t="s">
        <v>3455</v>
      </c>
      <c r="AH297" s="17" t="s">
        <v>3456</v>
      </c>
      <c r="AI297" s="70" t="s">
        <v>94</v>
      </c>
      <c r="AJ297" s="17" t="s">
        <v>94</v>
      </c>
      <c r="AK297" s="17" t="s">
        <v>95</v>
      </c>
      <c r="AL297" s="17" t="s">
        <v>86</v>
      </c>
      <c r="AM297" s="17" t="s">
        <v>95</v>
      </c>
      <c r="AN297" s="17" t="s">
        <v>3457</v>
      </c>
      <c r="AO297" s="17" t="s">
        <v>98</v>
      </c>
      <c r="AP297" s="17" t="s">
        <v>98</v>
      </c>
      <c r="AQ297" s="17" t="s">
        <v>98</v>
      </c>
      <c r="AR297" s="17" t="s">
        <v>94</v>
      </c>
      <c r="AS297" s="17" t="s">
        <v>3458</v>
      </c>
      <c r="AT297" s="17"/>
      <c r="AU297" s="30" t="s">
        <v>3459</v>
      </c>
      <c r="AV297" s="14">
        <v>5785</v>
      </c>
      <c r="AW297" s="74"/>
      <c r="AX297" s="1"/>
      <c r="AY297" s="17" t="s">
        <v>101</v>
      </c>
    </row>
    <row r="298" spans="1:51" ht="12.75" customHeight="1" x14ac:dyDescent="0.25">
      <c r="A298" s="5">
        <v>298</v>
      </c>
      <c r="B298" s="9">
        <v>298</v>
      </c>
      <c r="C298" s="9" t="s">
        <v>3460</v>
      </c>
      <c r="D298" s="57" t="str">
        <f>HYPERLINK("http://prodenv.dep.state.fl.us/DepNexus/public/electronic-documents/OG_298/facility!search","OG_298_Docs")</f>
        <v>OG_298_Docs</v>
      </c>
      <c r="E298" s="57" t="str">
        <f>HYPERLINK("https://ca.dep.state.fl.us/mapdirect/?focus=oilandgas&amp;zoom=query&amp;querytype=oilandgas&amp;queryvalues=OG_298","OG_298_Map")</f>
        <v>OG_298_Map</v>
      </c>
      <c r="F298" s="1" t="s">
        <v>290</v>
      </c>
      <c r="G298" s="1" t="s">
        <v>79</v>
      </c>
      <c r="H298" s="1" t="s">
        <v>1960</v>
      </c>
      <c r="I298" s="1" t="s">
        <v>3461</v>
      </c>
      <c r="J298" s="17" t="s">
        <v>82</v>
      </c>
      <c r="K298" s="17" t="s">
        <v>83</v>
      </c>
      <c r="L298" s="17"/>
      <c r="M298" s="17" t="s">
        <v>101</v>
      </c>
      <c r="N298" s="52" t="s">
        <v>3462</v>
      </c>
      <c r="O298" s="17" t="s">
        <v>609</v>
      </c>
      <c r="P298" s="17" t="s">
        <v>86</v>
      </c>
      <c r="Q298" s="81" t="s">
        <v>609</v>
      </c>
      <c r="R298" s="11">
        <v>24.533909999999999</v>
      </c>
      <c r="S298" s="11">
        <v>-82.108491999999998</v>
      </c>
      <c r="T298" s="11" t="s">
        <v>3463</v>
      </c>
      <c r="U298" s="11" t="s">
        <v>3464</v>
      </c>
      <c r="V298" s="17" t="s">
        <v>233</v>
      </c>
      <c r="W298" s="17" t="s">
        <v>110</v>
      </c>
      <c r="X298" s="70">
        <v>57</v>
      </c>
      <c r="Y298" s="70">
        <v>-15</v>
      </c>
      <c r="Z298" s="13">
        <v>22550</v>
      </c>
      <c r="AA298" s="13">
        <v>22587</v>
      </c>
      <c r="AB298" s="13">
        <v>22659</v>
      </c>
      <c r="AC298" s="13">
        <v>22659</v>
      </c>
      <c r="AD298" s="86">
        <v>12850</v>
      </c>
      <c r="AE298" s="86">
        <v>12850</v>
      </c>
      <c r="AF298" s="70" t="s">
        <v>3465</v>
      </c>
      <c r="AG298" s="17" t="s">
        <v>3466</v>
      </c>
      <c r="AH298" s="17" t="s">
        <v>3467</v>
      </c>
      <c r="AI298" s="70" t="s">
        <v>94</v>
      </c>
      <c r="AJ298" s="17" t="s">
        <v>94</v>
      </c>
      <c r="AK298" s="17" t="s">
        <v>95</v>
      </c>
      <c r="AL298" s="17" t="s">
        <v>3468</v>
      </c>
      <c r="AM298" s="17" t="s">
        <v>95</v>
      </c>
      <c r="AN298" s="17" t="s">
        <v>3469</v>
      </c>
      <c r="AO298" s="17" t="s">
        <v>98</v>
      </c>
      <c r="AP298" s="17" t="s">
        <v>98</v>
      </c>
      <c r="AQ298" s="17" t="s">
        <v>98</v>
      </c>
      <c r="AR298" s="17" t="s">
        <v>94</v>
      </c>
      <c r="AS298" s="17" t="s">
        <v>3470</v>
      </c>
      <c r="AT298" s="17">
        <v>150</v>
      </c>
      <c r="AU298" s="30" t="s">
        <v>3471</v>
      </c>
      <c r="AV298" s="14">
        <v>5970</v>
      </c>
      <c r="AW298" s="74"/>
      <c r="AX298" s="1"/>
      <c r="AY298" s="17" t="s">
        <v>101</v>
      </c>
    </row>
    <row r="299" spans="1:51" ht="12.75" customHeight="1" x14ac:dyDescent="0.25">
      <c r="A299" s="5">
        <v>299</v>
      </c>
      <c r="B299" s="9">
        <v>299</v>
      </c>
      <c r="C299" s="9" t="s">
        <v>3472</v>
      </c>
      <c r="D299" s="57" t="str">
        <f>HYPERLINK("http://prodenv.dep.state.fl.us/DepNexus/public/electronic-documents/OG_299/facility!search","OG_299_Docs")</f>
        <v>OG_299_Docs</v>
      </c>
      <c r="E299" s="57" t="str">
        <f>HYPERLINK("https://ca.dep.state.fl.us/mapdirect/?focus=oilandgas&amp;zoom=query&amp;querytype=oilandgas&amp;queryvalues=OG_299","OG_299_Map")</f>
        <v>OG_299_Map</v>
      </c>
      <c r="F299" s="1" t="s">
        <v>1797</v>
      </c>
      <c r="G299" s="1" t="s">
        <v>79</v>
      </c>
      <c r="H299" s="1" t="s">
        <v>176</v>
      </c>
      <c r="I299" s="1" t="s">
        <v>3473</v>
      </c>
      <c r="J299" s="17" t="s">
        <v>82</v>
      </c>
      <c r="K299" s="17" t="s">
        <v>83</v>
      </c>
      <c r="L299" s="17"/>
      <c r="M299" s="17" t="s">
        <v>101</v>
      </c>
      <c r="N299" s="52" t="s">
        <v>3193</v>
      </c>
      <c r="O299" s="17" t="s">
        <v>86</v>
      </c>
      <c r="P299" s="17" t="s">
        <v>86</v>
      </c>
      <c r="Q299" s="81" t="s">
        <v>3474</v>
      </c>
      <c r="R299" s="11">
        <v>30.715357000000001</v>
      </c>
      <c r="S299" s="11">
        <v>-87.152445</v>
      </c>
      <c r="T299" s="11" t="s">
        <v>3475</v>
      </c>
      <c r="U299" s="11" t="s">
        <v>3476</v>
      </c>
      <c r="V299" s="17" t="s">
        <v>3477</v>
      </c>
      <c r="W299" s="17" t="s">
        <v>110</v>
      </c>
      <c r="X299" s="70">
        <v>119</v>
      </c>
      <c r="Y299" s="70">
        <v>108</v>
      </c>
      <c r="Z299" s="13">
        <v>22858</v>
      </c>
      <c r="AA299" s="13">
        <v>22854</v>
      </c>
      <c r="AB299" s="13">
        <v>22897</v>
      </c>
      <c r="AC299" s="13">
        <v>22897</v>
      </c>
      <c r="AD299" s="86">
        <v>11714</v>
      </c>
      <c r="AE299" s="86">
        <v>11714</v>
      </c>
      <c r="AF299" s="70" t="s">
        <v>3478</v>
      </c>
      <c r="AG299" s="17" t="s">
        <v>3479</v>
      </c>
      <c r="AH299" s="17" t="s">
        <v>94</v>
      </c>
      <c r="AI299" s="70" t="s">
        <v>94</v>
      </c>
      <c r="AJ299" s="17" t="s">
        <v>94</v>
      </c>
      <c r="AK299" s="17" t="s">
        <v>95</v>
      </c>
      <c r="AL299" s="17" t="s">
        <v>86</v>
      </c>
      <c r="AM299" s="17" t="s">
        <v>94</v>
      </c>
      <c r="AN299" s="17" t="s">
        <v>3480</v>
      </c>
      <c r="AO299" s="17" t="s">
        <v>98</v>
      </c>
      <c r="AP299" s="17" t="s">
        <v>98</v>
      </c>
      <c r="AQ299" s="17" t="s">
        <v>98</v>
      </c>
      <c r="AR299" s="17" t="s">
        <v>94</v>
      </c>
      <c r="AS299" s="17" t="s">
        <v>3481</v>
      </c>
      <c r="AT299" s="17">
        <v>206</v>
      </c>
      <c r="AU299" s="30" t="s">
        <v>3482</v>
      </c>
      <c r="AV299" s="14">
        <v>6149</v>
      </c>
      <c r="AW299" s="74"/>
      <c r="AX299" s="1"/>
      <c r="AY299" s="17" t="s">
        <v>101</v>
      </c>
    </row>
    <row r="300" spans="1:51" ht="12.75" customHeight="1" x14ac:dyDescent="0.25">
      <c r="A300" s="5">
        <v>300</v>
      </c>
      <c r="B300" s="9">
        <v>300</v>
      </c>
      <c r="C300" s="9" t="s">
        <v>3483</v>
      </c>
      <c r="D300" s="57" t="str">
        <f>HYPERLINK("http://prodenv.dep.state.fl.us/DepNexus/public/electronic-documents/OG_300/facility!search","OG_300_Docs")</f>
        <v>OG_300_Docs</v>
      </c>
      <c r="E300" s="57" t="str">
        <f>HYPERLINK("https://ca.dep.state.fl.us/mapdirect/?focus=oilandgas&amp;zoom=query&amp;querytype=oilandgas&amp;queryvalues=OG_300","OG_300_Map")</f>
        <v>OG_300_Map</v>
      </c>
      <c r="F300" s="1" t="s">
        <v>265</v>
      </c>
      <c r="G300" s="1" t="s">
        <v>266</v>
      </c>
      <c r="H300" s="1" t="s">
        <v>176</v>
      </c>
      <c r="I300" s="1" t="s">
        <v>3484</v>
      </c>
      <c r="J300" s="17" t="s">
        <v>268</v>
      </c>
      <c r="K300" s="17" t="s">
        <v>412</v>
      </c>
      <c r="L300" s="17"/>
      <c r="M300" s="17" t="s">
        <v>101</v>
      </c>
      <c r="N300" s="52" t="s">
        <v>86</v>
      </c>
      <c r="O300" s="17" t="s">
        <v>270</v>
      </c>
      <c r="P300" s="17" t="s">
        <v>86</v>
      </c>
      <c r="Q300" s="81" t="s">
        <v>765</v>
      </c>
      <c r="R300" s="11">
        <v>26.285931000000001</v>
      </c>
      <c r="S300" s="11">
        <v>-81.339631999999995</v>
      </c>
      <c r="T300" s="11" t="s">
        <v>3485</v>
      </c>
      <c r="U300" s="11" t="s">
        <v>3486</v>
      </c>
      <c r="V300" s="17" t="s">
        <v>3487</v>
      </c>
      <c r="W300" s="17" t="s">
        <v>110</v>
      </c>
      <c r="X300" s="70">
        <v>32</v>
      </c>
      <c r="Y300" s="70">
        <v>19</v>
      </c>
      <c r="Z300" s="13">
        <v>22858</v>
      </c>
      <c r="AA300" s="13">
        <v>22858</v>
      </c>
      <c r="AB300" s="13">
        <v>22917</v>
      </c>
      <c r="AC300" s="13">
        <v>31750</v>
      </c>
      <c r="AD300" s="86">
        <v>11821</v>
      </c>
      <c r="AE300" s="86">
        <v>11821</v>
      </c>
      <c r="AF300" s="70" t="s">
        <v>3488</v>
      </c>
      <c r="AG300" s="17" t="s">
        <v>3489</v>
      </c>
      <c r="AH300" s="17" t="s">
        <v>3490</v>
      </c>
      <c r="AI300" s="70" t="s">
        <v>3491</v>
      </c>
      <c r="AJ300" s="17" t="s">
        <v>3492</v>
      </c>
      <c r="AK300" s="17" t="s">
        <v>95</v>
      </c>
      <c r="AL300" s="17" t="s">
        <v>86</v>
      </c>
      <c r="AM300" s="17" t="s">
        <v>94</v>
      </c>
      <c r="AN300" s="17" t="s">
        <v>86</v>
      </c>
      <c r="AO300" s="17" t="s">
        <v>3493</v>
      </c>
      <c r="AP300" s="17" t="s">
        <v>3494</v>
      </c>
      <c r="AQ300" s="17" t="s">
        <v>3495</v>
      </c>
      <c r="AR300" s="17" t="s">
        <v>3496</v>
      </c>
      <c r="AS300" s="17" t="s">
        <v>3497</v>
      </c>
      <c r="AT300" s="17">
        <v>205</v>
      </c>
      <c r="AU300" s="30" t="s">
        <v>3498</v>
      </c>
      <c r="AV300" s="14">
        <v>6150</v>
      </c>
      <c r="AW300" s="74"/>
      <c r="AX300" s="1"/>
      <c r="AY300" s="17" t="s">
        <v>101</v>
      </c>
    </row>
    <row r="301" spans="1:51" ht="15" customHeight="1" x14ac:dyDescent="0.25">
      <c r="A301" s="5">
        <v>301</v>
      </c>
      <c r="B301" s="9">
        <v>301</v>
      </c>
      <c r="C301" s="9" t="s">
        <v>3499</v>
      </c>
      <c r="D301" s="57" t="str">
        <f>HYPERLINK("http://prodenv.dep.state.fl.us/DepNexus/public/electronic-documents/OG_301/facility!search","OG_301_Docs")</f>
        <v>OG_301_Docs</v>
      </c>
      <c r="E301" s="57" t="str">
        <f>HYPERLINK("https://ca.dep.state.fl.us/mapdirect/?focus=oilandgas&amp;zoom=query&amp;querytype=oilandgas&amp;queryvalues=OG_301","OG_301_Map")</f>
        <v>OG_301_Map</v>
      </c>
      <c r="F301" s="1" t="s">
        <v>265</v>
      </c>
      <c r="G301" s="1" t="s">
        <v>266</v>
      </c>
      <c r="H301" s="1" t="s">
        <v>176</v>
      </c>
      <c r="I301" s="1" t="s">
        <v>3500</v>
      </c>
      <c r="J301" s="17" t="s">
        <v>268</v>
      </c>
      <c r="K301" s="17" t="s">
        <v>412</v>
      </c>
      <c r="L301" s="17"/>
      <c r="M301" s="17"/>
      <c r="N301" s="52" t="s">
        <v>3501</v>
      </c>
      <c r="O301" s="17" t="s">
        <v>270</v>
      </c>
      <c r="P301" s="17" t="s">
        <v>86</v>
      </c>
      <c r="Q301" s="81" t="s">
        <v>1114</v>
      </c>
      <c r="R301" s="11">
        <v>26.300781000000001</v>
      </c>
      <c r="S301" s="11">
        <v>-81.373069999999998</v>
      </c>
      <c r="T301" s="11" t="s">
        <v>3502</v>
      </c>
      <c r="U301" s="11" t="s">
        <v>3503</v>
      </c>
      <c r="V301" s="17" t="s">
        <v>3504</v>
      </c>
      <c r="W301" s="17" t="s">
        <v>110</v>
      </c>
      <c r="X301" s="70">
        <v>35.36</v>
      </c>
      <c r="Y301" s="70">
        <v>22.71</v>
      </c>
      <c r="Z301" s="13">
        <v>22935</v>
      </c>
      <c r="AA301" s="13">
        <v>22934</v>
      </c>
      <c r="AB301" s="13">
        <v>22983</v>
      </c>
      <c r="AC301" s="13">
        <v>31989</v>
      </c>
      <c r="AD301" s="86">
        <v>11650</v>
      </c>
      <c r="AE301" s="86">
        <v>11650</v>
      </c>
      <c r="AF301" s="70" t="s">
        <v>3505</v>
      </c>
      <c r="AG301" s="17" t="s">
        <v>3506</v>
      </c>
      <c r="AH301" s="17" t="s">
        <v>3507</v>
      </c>
      <c r="AI301" s="70" t="s">
        <v>3508</v>
      </c>
      <c r="AJ301" s="17" t="s">
        <v>3509</v>
      </c>
      <c r="AK301" s="17" t="s">
        <v>94</v>
      </c>
      <c r="AL301" s="17" t="s">
        <v>86</v>
      </c>
      <c r="AM301" s="17" t="s">
        <v>94</v>
      </c>
      <c r="AN301" s="17" t="s">
        <v>94</v>
      </c>
      <c r="AO301" s="17" t="s">
        <v>3510</v>
      </c>
      <c r="AP301" s="17" t="s">
        <v>3511</v>
      </c>
      <c r="AQ301" s="17" t="s">
        <v>3512</v>
      </c>
      <c r="AR301" s="17" t="s">
        <v>3513</v>
      </c>
      <c r="AS301" s="17" t="s">
        <v>3514</v>
      </c>
      <c r="AT301" s="17"/>
      <c r="AU301" s="30" t="s">
        <v>3515</v>
      </c>
      <c r="AV301" s="14" t="s">
        <v>94</v>
      </c>
      <c r="AW301" s="74"/>
      <c r="AX301" s="1"/>
      <c r="AY301" s="17" t="s">
        <v>101</v>
      </c>
    </row>
    <row r="302" spans="1:51" ht="15" customHeight="1" x14ac:dyDescent="0.25">
      <c r="A302" s="5">
        <v>302</v>
      </c>
      <c r="B302" s="9">
        <v>302</v>
      </c>
      <c r="C302" s="9" t="s">
        <v>3516</v>
      </c>
      <c r="D302" s="57" t="str">
        <f>HYPERLINK("http://prodenv.dep.state.fl.us/DepNexus/public/electronic-documents/OG_302/facility!search","OG_302_Docs")</f>
        <v>OG_302_Docs</v>
      </c>
      <c r="E302" s="57" t="str">
        <f>HYPERLINK("https://ca.dep.state.fl.us/mapdirect/?focus=oilandgas&amp;zoom=query&amp;querytype=oilandgas&amp;queryvalues=OG_302","OG_302_Map")</f>
        <v>OG_302_Map</v>
      </c>
      <c r="F302" s="1" t="s">
        <v>486</v>
      </c>
      <c r="G302" s="1" t="s">
        <v>79</v>
      </c>
      <c r="H302" s="1" t="s">
        <v>3517</v>
      </c>
      <c r="I302" s="1" t="s">
        <v>3518</v>
      </c>
      <c r="J302" s="17" t="s">
        <v>82</v>
      </c>
      <c r="K302" s="17" t="s">
        <v>83</v>
      </c>
      <c r="L302" s="17"/>
      <c r="M302" s="17"/>
      <c r="N302" s="52" t="s">
        <v>3193</v>
      </c>
      <c r="O302" s="17" t="s">
        <v>86</v>
      </c>
      <c r="P302" s="17" t="s">
        <v>86</v>
      </c>
      <c r="Q302" s="81" t="s">
        <v>3519</v>
      </c>
      <c r="R302" s="11">
        <v>30.546136000000001</v>
      </c>
      <c r="S302" s="11">
        <v>-84.616191999999998</v>
      </c>
      <c r="T302" s="11" t="s">
        <v>3520</v>
      </c>
      <c r="U302" s="11" t="s">
        <v>3521</v>
      </c>
      <c r="V302" s="17" t="s">
        <v>3522</v>
      </c>
      <c r="W302" s="17" t="s">
        <v>110</v>
      </c>
      <c r="X302" s="70">
        <v>206</v>
      </c>
      <c r="Y302" s="70">
        <v>197</v>
      </c>
      <c r="Z302" s="13">
        <v>22991</v>
      </c>
      <c r="AA302" s="13">
        <v>23357</v>
      </c>
      <c r="AB302" s="13">
        <v>23000</v>
      </c>
      <c r="AC302" s="13">
        <v>23034</v>
      </c>
      <c r="AD302" s="86">
        <v>4196</v>
      </c>
      <c r="AE302" s="86">
        <v>4196</v>
      </c>
      <c r="AF302" s="70" t="s">
        <v>94</v>
      </c>
      <c r="AG302" s="17" t="s">
        <v>3322</v>
      </c>
      <c r="AH302" s="17" t="s">
        <v>94</v>
      </c>
      <c r="AI302" s="70" t="s">
        <v>94</v>
      </c>
      <c r="AJ302" s="17" t="s">
        <v>94</v>
      </c>
      <c r="AK302" s="17" t="s">
        <v>95</v>
      </c>
      <c r="AL302" s="17" t="s">
        <v>86</v>
      </c>
      <c r="AM302" s="17" t="s">
        <v>94</v>
      </c>
      <c r="AN302" s="17" t="s">
        <v>94</v>
      </c>
      <c r="AO302" s="17" t="s">
        <v>98</v>
      </c>
      <c r="AP302" s="17" t="s">
        <v>98</v>
      </c>
      <c r="AQ302" s="17" t="s">
        <v>98</v>
      </c>
      <c r="AR302" s="17" t="s">
        <v>94</v>
      </c>
      <c r="AS302" s="17" t="s">
        <v>3523</v>
      </c>
      <c r="AT302" s="17">
        <v>110</v>
      </c>
      <c r="AU302" s="30" t="s">
        <v>3524</v>
      </c>
      <c r="AV302" s="14">
        <v>6143</v>
      </c>
      <c r="AW302" s="74"/>
      <c r="AX302" s="1" t="s">
        <v>3525</v>
      </c>
      <c r="AY302" s="17" t="s">
        <v>101</v>
      </c>
    </row>
    <row r="303" spans="1:51" ht="12.75" customHeight="1" x14ac:dyDescent="0.25">
      <c r="A303" s="5">
        <v>303</v>
      </c>
      <c r="B303" s="9">
        <v>303</v>
      </c>
      <c r="C303" s="9" t="s">
        <v>3526</v>
      </c>
      <c r="D303" s="57" t="str">
        <f>HYPERLINK("http://prodenv.dep.state.fl.us/DepNexus/public/electronic-documents/OG_303/facility!search","OG_303_Docs")</f>
        <v>OG_303_Docs</v>
      </c>
      <c r="E303" s="57" t="str">
        <f>HYPERLINK("https://ca.dep.state.fl.us/mapdirect/?focus=oilandgas&amp;zoom=query&amp;querytype=oilandgas&amp;queryvalues=OG_303","OG_303_Map")</f>
        <v>OG_303_Map</v>
      </c>
      <c r="F303" s="1" t="s">
        <v>581</v>
      </c>
      <c r="G303" s="1" t="s">
        <v>79</v>
      </c>
      <c r="H303" s="1" t="s">
        <v>3527</v>
      </c>
      <c r="I303" s="1" t="s">
        <v>3528</v>
      </c>
      <c r="J303" s="17" t="s">
        <v>207</v>
      </c>
      <c r="K303" s="17" t="s">
        <v>208</v>
      </c>
      <c r="L303" s="17"/>
      <c r="M303" s="17" t="s">
        <v>207</v>
      </c>
      <c r="N303" s="52" t="s">
        <v>86</v>
      </c>
      <c r="O303" s="17" t="s">
        <v>86</v>
      </c>
      <c r="P303" s="17" t="s">
        <v>86</v>
      </c>
      <c r="Q303" s="81" t="s">
        <v>3529</v>
      </c>
      <c r="R303" s="11">
        <v>29.910798</v>
      </c>
      <c r="S303" s="11">
        <v>-82.05104</v>
      </c>
      <c r="T303" s="11" t="s">
        <v>3530</v>
      </c>
      <c r="U303" s="11" t="s">
        <v>3531</v>
      </c>
      <c r="V303" s="17" t="s">
        <v>3532</v>
      </c>
      <c r="W303" s="17" t="s">
        <v>110</v>
      </c>
      <c r="X303" s="70"/>
      <c r="Y303" s="70"/>
      <c r="Z303" s="13">
        <v>23040</v>
      </c>
      <c r="AA303" s="13"/>
      <c r="AB303" s="13"/>
      <c r="AC303" s="13"/>
      <c r="AD303" s="86"/>
      <c r="AE303" s="70"/>
      <c r="AF303" s="70" t="s">
        <v>207</v>
      </c>
      <c r="AG303" s="14" t="s">
        <v>207</v>
      </c>
      <c r="AH303" s="14" t="s">
        <v>207</v>
      </c>
      <c r="AI303" s="70" t="s">
        <v>207</v>
      </c>
      <c r="AJ303" s="14" t="s">
        <v>207</v>
      </c>
      <c r="AK303" s="14" t="s">
        <v>207</v>
      </c>
      <c r="AL303" s="14" t="s">
        <v>207</v>
      </c>
      <c r="AM303" s="14" t="s">
        <v>207</v>
      </c>
      <c r="AN303" s="14" t="s">
        <v>207</v>
      </c>
      <c r="AO303" s="14" t="s">
        <v>207</v>
      </c>
      <c r="AP303" s="14" t="s">
        <v>207</v>
      </c>
      <c r="AQ303" s="14" t="s">
        <v>207</v>
      </c>
      <c r="AR303" s="14" t="s">
        <v>207</v>
      </c>
      <c r="AS303" s="14" t="s">
        <v>207</v>
      </c>
      <c r="AT303" s="17"/>
      <c r="AU303" s="30" t="s">
        <v>1843</v>
      </c>
      <c r="AV303" s="14" t="s">
        <v>207</v>
      </c>
      <c r="AW303" s="74"/>
      <c r="AX303" s="1"/>
      <c r="AY303" s="17" t="s">
        <v>101</v>
      </c>
    </row>
    <row r="304" spans="1:51" ht="12.75" customHeight="1" x14ac:dyDescent="0.25">
      <c r="A304" s="5">
        <v>304</v>
      </c>
      <c r="B304" s="9">
        <v>304</v>
      </c>
      <c r="C304" s="9" t="s">
        <v>3533</v>
      </c>
      <c r="D304" s="57" t="str">
        <f>HYPERLINK("http://prodenv.dep.state.fl.us/DepNexus/public/electronic-documents/OG_304/facility!search","OG_304_Docs")</f>
        <v>OG_304_Docs</v>
      </c>
      <c r="E304" s="57" t="str">
        <f>HYPERLINK("https://ca.dep.state.fl.us/mapdirect/?focus=oilandgas&amp;zoom=query&amp;querytype=oilandgas&amp;queryvalues=OG_304","OG_304_Map")</f>
        <v>OG_304_Map</v>
      </c>
      <c r="F304" s="1" t="s">
        <v>1012</v>
      </c>
      <c r="G304" s="1" t="s">
        <v>79</v>
      </c>
      <c r="H304" s="1" t="s">
        <v>1960</v>
      </c>
      <c r="I304" s="1" t="s">
        <v>3534</v>
      </c>
      <c r="J304" s="17" t="s">
        <v>82</v>
      </c>
      <c r="K304" s="17" t="s">
        <v>83</v>
      </c>
      <c r="L304" s="17"/>
      <c r="M304" s="17" t="s">
        <v>101</v>
      </c>
      <c r="N304" s="52" t="s">
        <v>3535</v>
      </c>
      <c r="O304" s="17" t="s">
        <v>609</v>
      </c>
      <c r="P304" s="17" t="s">
        <v>86</v>
      </c>
      <c r="Q304" s="81" t="s">
        <v>609</v>
      </c>
      <c r="R304" s="11">
        <v>28.09252</v>
      </c>
      <c r="S304" s="11">
        <v>-82.880386000000001</v>
      </c>
      <c r="T304" s="11" t="s">
        <v>3536</v>
      </c>
      <c r="U304" s="11" t="s">
        <v>3537</v>
      </c>
      <c r="V304" s="17" t="s">
        <v>233</v>
      </c>
      <c r="W304" s="17" t="s">
        <v>110</v>
      </c>
      <c r="X304" s="70">
        <v>37</v>
      </c>
      <c r="Y304" s="70">
        <v>-21</v>
      </c>
      <c r="Z304" s="13">
        <v>23047</v>
      </c>
      <c r="AA304" s="13">
        <v>23047</v>
      </c>
      <c r="AB304" s="13">
        <v>23112</v>
      </c>
      <c r="AC304" s="13">
        <v>23112</v>
      </c>
      <c r="AD304" s="86">
        <v>10600</v>
      </c>
      <c r="AE304" s="86">
        <v>10600</v>
      </c>
      <c r="AF304" s="70" t="s">
        <v>3538</v>
      </c>
      <c r="AG304" s="17" t="s">
        <v>3539</v>
      </c>
      <c r="AH304" s="17" t="s">
        <v>3540</v>
      </c>
      <c r="AI304" s="70" t="s">
        <v>94</v>
      </c>
      <c r="AJ304" s="17" t="s">
        <v>94</v>
      </c>
      <c r="AK304" s="17" t="s">
        <v>95</v>
      </c>
      <c r="AL304" s="17" t="s">
        <v>94</v>
      </c>
      <c r="AM304" s="17" t="s">
        <v>94</v>
      </c>
      <c r="AN304" s="17" t="s">
        <v>94</v>
      </c>
      <c r="AO304" s="17" t="s">
        <v>98</v>
      </c>
      <c r="AP304" s="17" t="s">
        <v>98</v>
      </c>
      <c r="AQ304" s="17" t="s">
        <v>98</v>
      </c>
      <c r="AR304" s="17" t="s">
        <v>94</v>
      </c>
      <c r="AS304" s="17" t="s">
        <v>3541</v>
      </c>
      <c r="AT304" s="17">
        <v>160</v>
      </c>
      <c r="AU304" s="30" t="s">
        <v>3542</v>
      </c>
      <c r="AV304" s="14">
        <v>6278</v>
      </c>
      <c r="AW304" s="74"/>
      <c r="AX304" s="1"/>
      <c r="AY304" s="17" t="s">
        <v>101</v>
      </c>
    </row>
    <row r="305" spans="1:51" ht="12.75" customHeight="1" x14ac:dyDescent="0.25">
      <c r="A305" s="5">
        <v>305</v>
      </c>
      <c r="B305" s="9">
        <v>305</v>
      </c>
      <c r="C305" s="9" t="s">
        <v>3543</v>
      </c>
      <c r="D305" s="57" t="str">
        <f>HYPERLINK("http://prodenv.dep.state.fl.us/DepNexus/public/electronic-documents/OG_305/facility!search","OG_305_Docs")</f>
        <v>OG_305_Docs</v>
      </c>
      <c r="E305" s="57" t="str">
        <f>HYPERLINK("https://ca.dep.state.fl.us/mapdirect/?focus=oilandgas&amp;zoom=query&amp;querytype=oilandgas&amp;queryvalues=OG_305","OG_305_Map")</f>
        <v>OG_305_Map</v>
      </c>
      <c r="F305" s="1" t="s">
        <v>486</v>
      </c>
      <c r="G305" s="1" t="s">
        <v>79</v>
      </c>
      <c r="H305" s="1" t="s">
        <v>3517</v>
      </c>
      <c r="I305" s="1" t="s">
        <v>3544</v>
      </c>
      <c r="J305" s="17" t="s">
        <v>82</v>
      </c>
      <c r="K305" s="17" t="s">
        <v>83</v>
      </c>
      <c r="L305" s="17"/>
      <c r="M305" s="17"/>
      <c r="N305" s="52" t="s">
        <v>3193</v>
      </c>
      <c r="O305" s="17" t="s">
        <v>86</v>
      </c>
      <c r="P305" s="17" t="s">
        <v>86</v>
      </c>
      <c r="Q305" s="81" t="s">
        <v>3545</v>
      </c>
      <c r="R305" s="11">
        <v>30.543317999999999</v>
      </c>
      <c r="S305" s="11">
        <v>-84.561346999999998</v>
      </c>
      <c r="T305" s="11" t="s">
        <v>3546</v>
      </c>
      <c r="U305" s="11" t="s">
        <v>3547</v>
      </c>
      <c r="V305" s="17" t="s">
        <v>3548</v>
      </c>
      <c r="W305" s="17" t="s">
        <v>110</v>
      </c>
      <c r="X305" s="70">
        <v>210</v>
      </c>
      <c r="Y305" s="70">
        <v>201</v>
      </c>
      <c r="Z305" s="13">
        <v>23047</v>
      </c>
      <c r="AA305" s="13">
        <v>23049</v>
      </c>
      <c r="AB305" s="13">
        <v>23068</v>
      </c>
      <c r="AC305" s="13">
        <v>23068</v>
      </c>
      <c r="AD305" s="86">
        <v>7028</v>
      </c>
      <c r="AE305" s="86">
        <v>7028</v>
      </c>
      <c r="AF305" s="70" t="s">
        <v>94</v>
      </c>
      <c r="AG305" s="17" t="s">
        <v>3549</v>
      </c>
      <c r="AH305" s="17" t="s">
        <v>94</v>
      </c>
      <c r="AI305" s="70" t="s">
        <v>94</v>
      </c>
      <c r="AJ305" s="17" t="s">
        <v>94</v>
      </c>
      <c r="AK305" s="17" t="s">
        <v>95</v>
      </c>
      <c r="AL305" s="17" t="s">
        <v>94</v>
      </c>
      <c r="AM305" s="17" t="s">
        <v>94</v>
      </c>
      <c r="AN305" s="17" t="s">
        <v>94</v>
      </c>
      <c r="AO305" s="17" t="s">
        <v>98</v>
      </c>
      <c r="AP305" s="17" t="s">
        <v>98</v>
      </c>
      <c r="AQ305" s="17" t="s">
        <v>98</v>
      </c>
      <c r="AR305" s="17" t="s">
        <v>94</v>
      </c>
      <c r="AS305" s="17" t="s">
        <v>3550</v>
      </c>
      <c r="AT305" s="17">
        <v>140</v>
      </c>
      <c r="AU305" s="30" t="s">
        <v>3551</v>
      </c>
      <c r="AV305" s="14">
        <v>6217</v>
      </c>
      <c r="AW305" s="74"/>
      <c r="AX305" s="1"/>
      <c r="AY305" s="17" t="s">
        <v>101</v>
      </c>
    </row>
    <row r="306" spans="1:51" ht="12.75" customHeight="1" x14ac:dyDescent="0.25">
      <c r="A306" s="5">
        <v>306</v>
      </c>
      <c r="B306" s="9">
        <v>306</v>
      </c>
      <c r="C306" s="9" t="s">
        <v>3552</v>
      </c>
      <c r="D306" s="57" t="str">
        <f>HYPERLINK("http://prodenv.dep.state.fl.us/DepNexus/public/electronic-documents/OG_306/facility!search","OG_306_Docs")</f>
        <v>OG_306_Docs</v>
      </c>
      <c r="E306" s="57" t="str">
        <f>HYPERLINK("https://ca.dep.state.fl.us/mapdirect/?focus=oilandgas&amp;zoom=query&amp;querytype=oilandgas&amp;queryvalues=OG_306","OG_306_Map")</f>
        <v>OG_306_Map</v>
      </c>
      <c r="F306" s="1" t="s">
        <v>700</v>
      </c>
      <c r="G306" s="1" t="s">
        <v>79</v>
      </c>
      <c r="H306" s="1" t="s">
        <v>3527</v>
      </c>
      <c r="I306" s="1" t="s">
        <v>3553</v>
      </c>
      <c r="J306" s="17" t="s">
        <v>82</v>
      </c>
      <c r="K306" s="17" t="s">
        <v>83</v>
      </c>
      <c r="L306" s="17"/>
      <c r="M306" s="17" t="s">
        <v>84</v>
      </c>
      <c r="N306" s="52" t="s">
        <v>3554</v>
      </c>
      <c r="O306" s="17" t="s">
        <v>86</v>
      </c>
      <c r="P306" s="17" t="s">
        <v>86</v>
      </c>
      <c r="Q306" s="81" t="s">
        <v>3555</v>
      </c>
      <c r="R306" s="11">
        <v>30.057017999999999</v>
      </c>
      <c r="S306" s="11">
        <v>-82.021984000000003</v>
      </c>
      <c r="T306" s="11" t="s">
        <v>3556</v>
      </c>
      <c r="U306" s="11" t="s">
        <v>3557</v>
      </c>
      <c r="V306" s="17" t="s">
        <v>3558</v>
      </c>
      <c r="W306" s="17" t="s">
        <v>110</v>
      </c>
      <c r="X306" s="70">
        <v>184</v>
      </c>
      <c r="Y306" s="70">
        <v>175</v>
      </c>
      <c r="Z306" s="13">
        <v>23096</v>
      </c>
      <c r="AA306" s="13">
        <v>23094</v>
      </c>
      <c r="AB306" s="13">
        <v>23788</v>
      </c>
      <c r="AC306" s="13">
        <v>23788</v>
      </c>
      <c r="AD306" s="86">
        <v>3508</v>
      </c>
      <c r="AE306" s="86">
        <v>3508</v>
      </c>
      <c r="AF306" s="70" t="s">
        <v>3559</v>
      </c>
      <c r="AG306" s="17" t="s">
        <v>3560</v>
      </c>
      <c r="AH306" s="17" t="s">
        <v>3561</v>
      </c>
      <c r="AI306" s="70" t="s">
        <v>94</v>
      </c>
      <c r="AJ306" s="17" t="s">
        <v>94</v>
      </c>
      <c r="AK306" s="17" t="s">
        <v>95</v>
      </c>
      <c r="AL306" s="17" t="s">
        <v>94</v>
      </c>
      <c r="AM306" s="17" t="s">
        <v>94</v>
      </c>
      <c r="AN306" s="17" t="s">
        <v>94</v>
      </c>
      <c r="AO306" s="17" t="s">
        <v>98</v>
      </c>
      <c r="AP306" s="17" t="s">
        <v>98</v>
      </c>
      <c r="AQ306" s="17" t="s">
        <v>98</v>
      </c>
      <c r="AR306" s="17" t="s">
        <v>3562</v>
      </c>
      <c r="AS306" s="17" t="s">
        <v>3563</v>
      </c>
      <c r="AT306" s="17">
        <v>100</v>
      </c>
      <c r="AU306" s="30" t="s">
        <v>3564</v>
      </c>
      <c r="AV306" s="14">
        <v>6299</v>
      </c>
      <c r="AW306" s="74"/>
      <c r="AX306" s="1" t="s">
        <v>3565</v>
      </c>
      <c r="AY306" s="17" t="s">
        <v>101</v>
      </c>
    </row>
    <row r="307" spans="1:51" ht="12.75" customHeight="1" x14ac:dyDescent="0.25">
      <c r="A307" s="5">
        <v>307</v>
      </c>
      <c r="B307" s="9">
        <v>307</v>
      </c>
      <c r="C307" s="9" t="s">
        <v>3566</v>
      </c>
      <c r="D307" s="57" t="str">
        <f>HYPERLINK("http://prodenv.dep.state.fl.us/DepNexus/public/electronic-documents/OG_307/facility!search","OG_307_Docs")</f>
        <v>OG_307_Docs</v>
      </c>
      <c r="E307" s="57" t="str">
        <f>HYPERLINK("https://ca.dep.state.fl.us/mapdirect/?focus=oilandgas&amp;zoom=query&amp;querytype=oilandgas&amp;queryvalues=OG_307","OG_307_Map")</f>
        <v>OG_307_Map</v>
      </c>
      <c r="F307" s="1" t="s">
        <v>2744</v>
      </c>
      <c r="G307" s="1" t="s">
        <v>79</v>
      </c>
      <c r="H307" s="1" t="s">
        <v>3567</v>
      </c>
      <c r="I307" s="1" t="s">
        <v>2746</v>
      </c>
      <c r="J307" s="17" t="s">
        <v>82</v>
      </c>
      <c r="K307" s="17" t="s">
        <v>83</v>
      </c>
      <c r="L307" s="17"/>
      <c r="M307" s="17"/>
      <c r="N307" s="52" t="s">
        <v>86</v>
      </c>
      <c r="O307" s="17" t="s">
        <v>86</v>
      </c>
      <c r="P307" s="17" t="s">
        <v>86</v>
      </c>
      <c r="Q307" s="81" t="s">
        <v>2748</v>
      </c>
      <c r="R307" s="11">
        <v>28.468418</v>
      </c>
      <c r="S307" s="11">
        <v>-81.217305999999994</v>
      </c>
      <c r="T307" s="11" t="s">
        <v>2749</v>
      </c>
      <c r="U307" s="11" t="s">
        <v>2750</v>
      </c>
      <c r="V307" s="17" t="s">
        <v>2751</v>
      </c>
      <c r="W307" s="17" t="s">
        <v>110</v>
      </c>
      <c r="X307" s="70">
        <v>78</v>
      </c>
      <c r="Y307" s="70">
        <v>65</v>
      </c>
      <c r="Z307" s="13">
        <v>23124</v>
      </c>
      <c r="AA307" s="13">
        <v>23269</v>
      </c>
      <c r="AB307" s="13">
        <v>23399</v>
      </c>
      <c r="AC307" s="13">
        <v>23481</v>
      </c>
      <c r="AD307" s="86">
        <v>6585</v>
      </c>
      <c r="AE307" s="86">
        <v>6585</v>
      </c>
      <c r="AF307" s="70" t="s">
        <v>2752</v>
      </c>
      <c r="AG307" s="17" t="s">
        <v>2753</v>
      </c>
      <c r="AH307" s="17" t="s">
        <v>2754</v>
      </c>
      <c r="AI307" s="70" t="s">
        <v>3568</v>
      </c>
      <c r="AJ307" s="17" t="s">
        <v>94</v>
      </c>
      <c r="AK307" s="17" t="s">
        <v>94</v>
      </c>
      <c r="AL307" s="17" t="s">
        <v>94</v>
      </c>
      <c r="AM307" s="17" t="s">
        <v>94</v>
      </c>
      <c r="AN307" s="17" t="s">
        <v>94</v>
      </c>
      <c r="AO307" s="17" t="s">
        <v>98</v>
      </c>
      <c r="AP307" s="17" t="s">
        <v>98</v>
      </c>
      <c r="AQ307" s="17" t="s">
        <v>98</v>
      </c>
      <c r="AR307" s="17" t="s">
        <v>94</v>
      </c>
      <c r="AS307" s="17" t="s">
        <v>3569</v>
      </c>
      <c r="AT307" s="17" t="s">
        <v>94</v>
      </c>
      <c r="AU307" s="30" t="s">
        <v>2758</v>
      </c>
      <c r="AV307" s="14">
        <v>3673</v>
      </c>
      <c r="AW307" s="74"/>
      <c r="AX307" s="1" t="s">
        <v>3570</v>
      </c>
      <c r="AY307" s="17" t="s">
        <v>101</v>
      </c>
    </row>
    <row r="308" spans="1:51" ht="12.75" customHeight="1" x14ac:dyDescent="0.25">
      <c r="A308" s="5">
        <v>308</v>
      </c>
      <c r="B308" s="9">
        <v>308</v>
      </c>
      <c r="C308" s="9" t="s">
        <v>3571</v>
      </c>
      <c r="D308" s="57" t="str">
        <f>HYPERLINK("http://prodenv.dep.state.fl.us/DepNexus/public/electronic-documents/OG_308/facility!search","OG_308_Docs")</f>
        <v>OG_308_Docs</v>
      </c>
      <c r="E308" s="57" t="str">
        <f>HYPERLINK("https://ca.dep.state.fl.us/mapdirect/?focus=oilandgas&amp;zoom=query&amp;querytype=oilandgas&amp;queryvalues=OG_308","OG_308_Map")</f>
        <v>OG_308_Map</v>
      </c>
      <c r="F308" s="1" t="s">
        <v>1151</v>
      </c>
      <c r="G308" s="1" t="s">
        <v>79</v>
      </c>
      <c r="H308" s="1" t="s">
        <v>3572</v>
      </c>
      <c r="I308" s="1" t="s">
        <v>3573</v>
      </c>
      <c r="J308" s="17" t="s">
        <v>82</v>
      </c>
      <c r="K308" s="17" t="s">
        <v>3574</v>
      </c>
      <c r="L308" s="17"/>
      <c r="M308" s="17"/>
      <c r="N308" s="52" t="s">
        <v>86</v>
      </c>
      <c r="O308" s="17" t="s">
        <v>86</v>
      </c>
      <c r="P308" s="17" t="s">
        <v>86</v>
      </c>
      <c r="Q308" s="81" t="s">
        <v>3575</v>
      </c>
      <c r="R308" s="11">
        <v>30.155729999999998</v>
      </c>
      <c r="S308" s="11">
        <v>-83.877905999999996</v>
      </c>
      <c r="T308" s="11" t="s">
        <v>3576</v>
      </c>
      <c r="U308" s="11" t="s">
        <v>3577</v>
      </c>
      <c r="V308" s="17" t="s">
        <v>3578</v>
      </c>
      <c r="W308" s="17" t="s">
        <v>110</v>
      </c>
      <c r="X308" s="70">
        <v>14</v>
      </c>
      <c r="Y308" s="70">
        <v>4</v>
      </c>
      <c r="Z308" s="13">
        <v>23166</v>
      </c>
      <c r="AA308" s="13">
        <v>23201</v>
      </c>
      <c r="AB308" s="13">
        <v>23251</v>
      </c>
      <c r="AC308" s="13">
        <v>23251</v>
      </c>
      <c r="AD308" s="86">
        <v>67</v>
      </c>
      <c r="AE308" s="86">
        <v>67</v>
      </c>
      <c r="AF308" s="70" t="s">
        <v>3579</v>
      </c>
      <c r="AG308" s="17" t="s">
        <v>3580</v>
      </c>
      <c r="AH308" s="17" t="s">
        <v>94</v>
      </c>
      <c r="AI308" s="70" t="s">
        <v>94</v>
      </c>
      <c r="AJ308" s="17" t="s">
        <v>94</v>
      </c>
      <c r="AK308" s="17" t="s">
        <v>94</v>
      </c>
      <c r="AL308" s="17" t="s">
        <v>94</v>
      </c>
      <c r="AM308" s="17" t="s">
        <v>94</v>
      </c>
      <c r="AN308" s="17" t="s">
        <v>94</v>
      </c>
      <c r="AO308" s="17" t="s">
        <v>98</v>
      </c>
      <c r="AP308" s="17" t="s">
        <v>98</v>
      </c>
      <c r="AQ308" s="17" t="s">
        <v>98</v>
      </c>
      <c r="AR308" s="17" t="s">
        <v>94</v>
      </c>
      <c r="AS308" s="17" t="s">
        <v>3581</v>
      </c>
      <c r="AT308" s="17" t="s">
        <v>94</v>
      </c>
      <c r="AU308" s="30" t="s">
        <v>3582</v>
      </c>
      <c r="AV308" s="14">
        <v>1766</v>
      </c>
      <c r="AW308" s="74"/>
      <c r="AX308" s="1" t="s">
        <v>3583</v>
      </c>
      <c r="AY308" s="17" t="s">
        <v>101</v>
      </c>
    </row>
    <row r="309" spans="1:51" ht="12.75" customHeight="1" x14ac:dyDescent="0.25">
      <c r="A309" s="5">
        <v>309</v>
      </c>
      <c r="B309" s="9">
        <v>309</v>
      </c>
      <c r="C309" s="9" t="s">
        <v>3584</v>
      </c>
      <c r="D309" s="57" t="str">
        <f>HYPERLINK("http://prodenv.dep.state.fl.us/DepNexus/public/electronic-documents/OG_309/facility!search","OG_309_Docs")</f>
        <v>OG_309_Docs</v>
      </c>
      <c r="E309" s="57" t="str">
        <f>HYPERLINK("https://ca.dep.state.fl.us/mapdirect/?focus=oilandgas&amp;zoom=query&amp;querytype=oilandgas&amp;queryvalues=OG_309","OG_309_Map")</f>
        <v>OG_309_Map</v>
      </c>
      <c r="F309" s="1" t="s">
        <v>1151</v>
      </c>
      <c r="G309" s="1" t="s">
        <v>79</v>
      </c>
      <c r="H309" s="1" t="s">
        <v>3572</v>
      </c>
      <c r="I309" s="1" t="s">
        <v>3585</v>
      </c>
      <c r="J309" s="17" t="s">
        <v>82</v>
      </c>
      <c r="K309" s="17" t="s">
        <v>83</v>
      </c>
      <c r="L309" s="17"/>
      <c r="M309" s="17" t="s">
        <v>84</v>
      </c>
      <c r="N309" s="52" t="s">
        <v>3193</v>
      </c>
      <c r="O309" s="17" t="s">
        <v>86</v>
      </c>
      <c r="P309" s="17" t="s">
        <v>86</v>
      </c>
      <c r="Q309" s="81" t="s">
        <v>3586</v>
      </c>
      <c r="R309" s="11">
        <v>30.148161000000002</v>
      </c>
      <c r="S309" s="11">
        <v>-83.898436000000004</v>
      </c>
      <c r="T309" s="11" t="s">
        <v>3587</v>
      </c>
      <c r="U309" s="11" t="s">
        <v>3588</v>
      </c>
      <c r="V309" s="17" t="s">
        <v>3589</v>
      </c>
      <c r="W309" s="17" t="s">
        <v>110</v>
      </c>
      <c r="X309" s="70"/>
      <c r="Y309" s="70">
        <v>14</v>
      </c>
      <c r="Z309" s="13">
        <v>23355</v>
      </c>
      <c r="AA309" s="13">
        <v>23345</v>
      </c>
      <c r="AB309" s="13">
        <v>23365</v>
      </c>
      <c r="AC309" s="13">
        <v>23365</v>
      </c>
      <c r="AD309" s="86">
        <v>4115</v>
      </c>
      <c r="AE309" s="86">
        <v>4115</v>
      </c>
      <c r="AF309" s="70" t="s">
        <v>3590</v>
      </c>
      <c r="AG309" s="17" t="s">
        <v>3591</v>
      </c>
      <c r="AH309" s="17" t="s">
        <v>94</v>
      </c>
      <c r="AI309" s="70" t="s">
        <v>94</v>
      </c>
      <c r="AJ309" s="17" t="s">
        <v>94</v>
      </c>
      <c r="AK309" s="17" t="s">
        <v>95</v>
      </c>
      <c r="AL309" s="17" t="s">
        <v>94</v>
      </c>
      <c r="AM309" s="17" t="s">
        <v>94</v>
      </c>
      <c r="AN309" s="17" t="s">
        <v>94</v>
      </c>
      <c r="AO309" s="17" t="s">
        <v>98</v>
      </c>
      <c r="AP309" s="17" t="s">
        <v>98</v>
      </c>
      <c r="AQ309" s="17" t="s">
        <v>98</v>
      </c>
      <c r="AR309" s="17" t="s">
        <v>94</v>
      </c>
      <c r="AS309" s="17" t="s">
        <v>3592</v>
      </c>
      <c r="AT309" s="17">
        <v>102</v>
      </c>
      <c r="AU309" s="30" t="s">
        <v>3593</v>
      </c>
      <c r="AV309" s="14">
        <v>6505</v>
      </c>
      <c r="AW309" s="74"/>
      <c r="AX309" s="1"/>
      <c r="AY309" s="17" t="s">
        <v>101</v>
      </c>
    </row>
    <row r="310" spans="1:51" ht="12.75" customHeight="1" x14ac:dyDescent="0.25">
      <c r="A310" s="5">
        <v>310</v>
      </c>
      <c r="B310" s="9">
        <v>310</v>
      </c>
      <c r="C310" s="9" t="s">
        <v>3594</v>
      </c>
      <c r="D310" s="57" t="str">
        <f>HYPERLINK("http://prodenv.dep.state.fl.us/DepNexus/public/electronic-documents/OG_310/facility!search","OG_310_Docs")</f>
        <v>OG_310_Docs</v>
      </c>
      <c r="E310" s="57" t="str">
        <f>HYPERLINK("https://ca.dep.state.fl.us/mapdirect/?focus=oilandgas&amp;zoom=query&amp;querytype=oilandgas&amp;queryvalues=OG_310","OG_310_Map")</f>
        <v>OG_310_Map</v>
      </c>
      <c r="F310" s="1" t="s">
        <v>2222</v>
      </c>
      <c r="G310" s="1" t="s">
        <v>79</v>
      </c>
      <c r="H310" s="1" t="s">
        <v>229</v>
      </c>
      <c r="I310" s="1" t="s">
        <v>3595</v>
      </c>
      <c r="J310" s="17" t="s">
        <v>82</v>
      </c>
      <c r="K310" s="17" t="s">
        <v>83</v>
      </c>
      <c r="L310" s="17"/>
      <c r="M310" s="17" t="s">
        <v>101</v>
      </c>
      <c r="N310" s="52" t="s">
        <v>3596</v>
      </c>
      <c r="O310" s="17" t="s">
        <v>86</v>
      </c>
      <c r="P310" s="17" t="s">
        <v>86</v>
      </c>
      <c r="Q310" s="81" t="s">
        <v>3597</v>
      </c>
      <c r="R310" s="11">
        <v>26.804803</v>
      </c>
      <c r="S310" s="11">
        <v>-81.863550000000004</v>
      </c>
      <c r="T310" s="11" t="s">
        <v>3598</v>
      </c>
      <c r="U310" s="11" t="s">
        <v>3599</v>
      </c>
      <c r="V310" s="17" t="s">
        <v>3600</v>
      </c>
      <c r="W310" s="17" t="s">
        <v>110</v>
      </c>
      <c r="X310" s="70">
        <v>44</v>
      </c>
      <c r="Y310" s="70">
        <v>26</v>
      </c>
      <c r="Z310" s="13">
        <v>23320</v>
      </c>
      <c r="AA310" s="13">
        <v>23335</v>
      </c>
      <c r="AB310" s="13">
        <v>23378</v>
      </c>
      <c r="AC310" s="13">
        <v>23378</v>
      </c>
      <c r="AD310" s="86">
        <v>12459</v>
      </c>
      <c r="AE310" s="86">
        <v>12459</v>
      </c>
      <c r="AF310" s="70" t="s">
        <v>3601</v>
      </c>
      <c r="AG310" s="17" t="s">
        <v>3602</v>
      </c>
      <c r="AH310" s="17" t="s">
        <v>3603</v>
      </c>
      <c r="AI310" s="70" t="s">
        <v>94</v>
      </c>
      <c r="AJ310" s="17" t="s">
        <v>94</v>
      </c>
      <c r="AK310" s="17" t="s">
        <v>95</v>
      </c>
      <c r="AL310" s="17" t="s">
        <v>3604</v>
      </c>
      <c r="AM310" s="17" t="s">
        <v>94</v>
      </c>
      <c r="AN310" s="17" t="s">
        <v>3605</v>
      </c>
      <c r="AO310" s="17" t="s">
        <v>98</v>
      </c>
      <c r="AP310" s="17" t="s">
        <v>98</v>
      </c>
      <c r="AQ310" s="17" t="s">
        <v>98</v>
      </c>
      <c r="AR310" s="17" t="s">
        <v>94</v>
      </c>
      <c r="AS310" s="17" t="s">
        <v>3606</v>
      </c>
      <c r="AT310" s="17">
        <v>198</v>
      </c>
      <c r="AU310" s="30" t="s">
        <v>3607</v>
      </c>
      <c r="AV310" s="14">
        <v>6674</v>
      </c>
      <c r="AW310" s="74"/>
      <c r="AX310" s="1"/>
      <c r="AY310" s="17" t="s">
        <v>101</v>
      </c>
    </row>
    <row r="311" spans="1:51" ht="12.75" customHeight="1" x14ac:dyDescent="0.25">
      <c r="A311" s="5">
        <v>311</v>
      </c>
      <c r="B311" s="9">
        <v>311</v>
      </c>
      <c r="C311" s="9" t="s">
        <v>3608</v>
      </c>
      <c r="D311" s="57" t="str">
        <f>HYPERLINK("http://prodenv.dep.state.fl.us/DepNexus/public/electronic-documents/OG_311/facility!search","OG_311_Docs")</f>
        <v>OG_311_Docs</v>
      </c>
      <c r="E311" s="57" t="str">
        <f>HYPERLINK("https://ca.dep.state.fl.us/mapdirect/?focus=oilandgas&amp;zoom=query&amp;querytype=oilandgas&amp;queryvalues=OG_311","OG_311_Map")</f>
        <v>OG_311_Map</v>
      </c>
      <c r="F311" s="1" t="s">
        <v>265</v>
      </c>
      <c r="G311" s="1" t="s">
        <v>266</v>
      </c>
      <c r="H311" s="1" t="s">
        <v>176</v>
      </c>
      <c r="I311" s="1" t="s">
        <v>3609</v>
      </c>
      <c r="J311" s="17" t="s">
        <v>82</v>
      </c>
      <c r="K311" s="17" t="s">
        <v>83</v>
      </c>
      <c r="L311" s="17"/>
      <c r="M311" s="17"/>
      <c r="N311" s="52" t="s">
        <v>3535</v>
      </c>
      <c r="O311" s="17" t="s">
        <v>270</v>
      </c>
      <c r="P311" s="17" t="s">
        <v>86</v>
      </c>
      <c r="Q311" s="81" t="s">
        <v>3610</v>
      </c>
      <c r="R311" s="11">
        <v>26.268712000000001</v>
      </c>
      <c r="S311" s="11">
        <v>-81.331726000000003</v>
      </c>
      <c r="T311" s="11" t="s">
        <v>3611</v>
      </c>
      <c r="U311" s="11" t="s">
        <v>3612</v>
      </c>
      <c r="V311" s="17" t="s">
        <v>3613</v>
      </c>
      <c r="W311" s="17" t="s">
        <v>110</v>
      </c>
      <c r="X311" s="70">
        <v>34</v>
      </c>
      <c r="Y311" s="70">
        <v>16.760000000000002</v>
      </c>
      <c r="Z311" s="13">
        <v>23404</v>
      </c>
      <c r="AA311" s="13">
        <v>23408</v>
      </c>
      <c r="AB311" s="13">
        <v>23525</v>
      </c>
      <c r="AC311" s="13">
        <v>23549</v>
      </c>
      <c r="AD311" s="86">
        <v>11700</v>
      </c>
      <c r="AE311" s="86">
        <v>11700</v>
      </c>
      <c r="AF311" s="70" t="s">
        <v>3614</v>
      </c>
      <c r="AG311" s="17" t="s">
        <v>3615</v>
      </c>
      <c r="AH311" s="17" t="s">
        <v>3616</v>
      </c>
      <c r="AI311" s="70" t="s">
        <v>3617</v>
      </c>
      <c r="AJ311" s="17" t="s">
        <v>3618</v>
      </c>
      <c r="AK311" s="17" t="s">
        <v>95</v>
      </c>
      <c r="AL311" s="17" t="s">
        <v>3619</v>
      </c>
      <c r="AM311" s="17" t="s">
        <v>94</v>
      </c>
      <c r="AN311" s="17" t="s">
        <v>86</v>
      </c>
      <c r="AO311" s="17" t="s">
        <v>98</v>
      </c>
      <c r="AP311" s="17" t="s">
        <v>98</v>
      </c>
      <c r="AQ311" s="17" t="s">
        <v>98</v>
      </c>
      <c r="AR311" s="17" t="s">
        <v>3620</v>
      </c>
      <c r="AS311" s="17" t="s">
        <v>3621</v>
      </c>
      <c r="AT311" s="17">
        <v>198</v>
      </c>
      <c r="AU311" s="30" t="s">
        <v>3622</v>
      </c>
      <c r="AV311" s="14">
        <v>6608</v>
      </c>
      <c r="AW311" s="74"/>
      <c r="AX311" s="1"/>
      <c r="AY311" s="17" t="s">
        <v>101</v>
      </c>
    </row>
    <row r="312" spans="1:51" ht="12.75" customHeight="1" x14ac:dyDescent="0.25">
      <c r="A312" s="5">
        <v>312</v>
      </c>
      <c r="B312" s="9">
        <v>312</v>
      </c>
      <c r="C312" s="9" t="s">
        <v>3623</v>
      </c>
      <c r="D312" s="57" t="str">
        <f>HYPERLINK("http://prodenv.dep.state.fl.us/DepNexus/public/electronic-documents/OG_312/facility!search","OG_312_Docs")</f>
        <v>OG_312_Docs</v>
      </c>
      <c r="E312" s="57" t="str">
        <f>HYPERLINK("https://ca.dep.state.fl.us/mapdirect/?focus=oilandgas&amp;zoom=query&amp;querytype=oilandgas&amp;queryvalues=OG_312","OG_312_Map")</f>
        <v>OG_312_Map</v>
      </c>
      <c r="F312" s="1" t="s">
        <v>265</v>
      </c>
      <c r="G312" s="1" t="s">
        <v>266</v>
      </c>
      <c r="H312" s="1" t="s">
        <v>3624</v>
      </c>
      <c r="I312" s="1" t="s">
        <v>3625</v>
      </c>
      <c r="J312" s="17" t="s">
        <v>268</v>
      </c>
      <c r="K312" s="17" t="s">
        <v>2105</v>
      </c>
      <c r="L312" s="17"/>
      <c r="M312" s="17"/>
      <c r="N312" s="52" t="s">
        <v>3626</v>
      </c>
      <c r="O312" s="17" t="s">
        <v>270</v>
      </c>
      <c r="P312" s="17" t="s">
        <v>86</v>
      </c>
      <c r="Q312" s="81" t="s">
        <v>3627</v>
      </c>
      <c r="R312" s="11">
        <v>26.289930999999999</v>
      </c>
      <c r="S312" s="11">
        <v>-81.344785000000002</v>
      </c>
      <c r="T312" s="11" t="s">
        <v>3628</v>
      </c>
      <c r="U312" s="11" t="s">
        <v>3629</v>
      </c>
      <c r="V312" s="17" t="s">
        <v>3630</v>
      </c>
      <c r="W312" s="17" t="s">
        <v>110</v>
      </c>
      <c r="X312" s="70">
        <v>38</v>
      </c>
      <c r="Y312" s="70">
        <v>18</v>
      </c>
      <c r="Z312" s="13">
        <v>23432</v>
      </c>
      <c r="AA312" s="13">
        <v>23479</v>
      </c>
      <c r="AB312" s="13">
        <v>23547</v>
      </c>
      <c r="AC312" s="13">
        <v>35521</v>
      </c>
      <c r="AD312" s="86">
        <v>11650</v>
      </c>
      <c r="AE312" s="86">
        <v>11650</v>
      </c>
      <c r="AF312" s="70" t="s">
        <v>3631</v>
      </c>
      <c r="AG312" s="17" t="s">
        <v>3632</v>
      </c>
      <c r="AH312" s="17" t="s">
        <v>3633</v>
      </c>
      <c r="AI312" s="70" t="s">
        <v>3634</v>
      </c>
      <c r="AJ312" s="17" t="s">
        <v>3635</v>
      </c>
      <c r="AK312" s="17" t="s">
        <v>95</v>
      </c>
      <c r="AL312" s="17" t="s">
        <v>3636</v>
      </c>
      <c r="AM312" s="17" t="s">
        <v>95</v>
      </c>
      <c r="AN312" s="17" t="s">
        <v>86</v>
      </c>
      <c r="AO312" s="17" t="s">
        <v>3637</v>
      </c>
      <c r="AP312" s="17" t="s">
        <v>3638</v>
      </c>
      <c r="AQ312" s="17" t="s">
        <v>3639</v>
      </c>
      <c r="AR312" s="17" t="s">
        <v>3640</v>
      </c>
      <c r="AS312" s="17" t="s">
        <v>3641</v>
      </c>
      <c r="AT312" s="17"/>
      <c r="AU312" s="30" t="s">
        <v>3642</v>
      </c>
      <c r="AV312" s="14">
        <v>6609</v>
      </c>
      <c r="AW312" s="74"/>
      <c r="AX312" s="1" t="s">
        <v>3643</v>
      </c>
      <c r="AY312" s="17" t="s">
        <v>101</v>
      </c>
    </row>
    <row r="313" spans="1:51" ht="15" customHeight="1" x14ac:dyDescent="0.25">
      <c r="A313" s="5">
        <v>312.10000000000002</v>
      </c>
      <c r="B313" s="9" t="s">
        <v>3644</v>
      </c>
      <c r="C313" s="9" t="s">
        <v>3623</v>
      </c>
      <c r="D313" s="57" t="str">
        <f>HYPERLINK("http://prodenv.dep.state.fl.us/DepNexus/public/electronic-documents/OG_312/facility!search","OG_312_Docs")</f>
        <v>OG_312_Docs</v>
      </c>
      <c r="E313" s="57" t="str">
        <f>HYPERLINK("https://ca.dep.state.fl.us/mapdirect/?focus=oilandgas&amp;zoom=query&amp;querytype=oilandgas&amp;queryvalues=OG_312","OG_312_Map")</f>
        <v>OG_312_Map</v>
      </c>
      <c r="F313" s="1" t="s">
        <v>265</v>
      </c>
      <c r="G313" s="1" t="s">
        <v>266</v>
      </c>
      <c r="H313" s="1" t="s">
        <v>1363</v>
      </c>
      <c r="I313" s="1" t="s">
        <v>3645</v>
      </c>
      <c r="J313" s="17" t="s">
        <v>3646</v>
      </c>
      <c r="K313" s="17" t="s">
        <v>412</v>
      </c>
      <c r="L313" s="17"/>
      <c r="M313" s="17"/>
      <c r="N313" s="52" t="s">
        <v>3647</v>
      </c>
      <c r="O313" s="17" t="s">
        <v>270</v>
      </c>
      <c r="P313" s="17" t="s">
        <v>86</v>
      </c>
      <c r="Q313" s="81" t="s">
        <v>3627</v>
      </c>
      <c r="R313" s="11">
        <v>26.289930999999999</v>
      </c>
      <c r="S313" s="11">
        <v>-81.344785000000002</v>
      </c>
      <c r="T313" s="11" t="s">
        <v>3628</v>
      </c>
      <c r="U313" s="11" t="s">
        <v>3629</v>
      </c>
      <c r="V313" s="17" t="s">
        <v>3630</v>
      </c>
      <c r="W313" s="17" t="s">
        <v>3648</v>
      </c>
      <c r="X313" s="70">
        <v>36.799999999999997</v>
      </c>
      <c r="Y313" s="70">
        <v>18.3</v>
      </c>
      <c r="Z313" s="13">
        <v>35496</v>
      </c>
      <c r="AA313" s="13">
        <v>35575</v>
      </c>
      <c r="AB313" s="13">
        <v>35726</v>
      </c>
      <c r="AC313" s="13"/>
      <c r="AD313" s="86">
        <v>11574</v>
      </c>
      <c r="AE313" s="70">
        <v>12754</v>
      </c>
      <c r="AF313" s="70" t="s">
        <v>3631</v>
      </c>
      <c r="AG313" s="17" t="s">
        <v>3632</v>
      </c>
      <c r="AH313" s="17" t="s">
        <v>3633</v>
      </c>
      <c r="AI313" s="70" t="s">
        <v>3649</v>
      </c>
      <c r="AJ313" s="17" t="s">
        <v>3650</v>
      </c>
      <c r="AK313" s="17" t="s">
        <v>95</v>
      </c>
      <c r="AL313" s="17" t="s">
        <v>3651</v>
      </c>
      <c r="AM313" s="17" t="s">
        <v>825</v>
      </c>
      <c r="AN313" s="17" t="s">
        <v>86</v>
      </c>
      <c r="AO313" s="17" t="s">
        <v>3652</v>
      </c>
      <c r="AP313" s="17" t="s">
        <v>3653</v>
      </c>
      <c r="AQ313" s="17" t="s">
        <v>3654</v>
      </c>
      <c r="AR313" s="17" t="s">
        <v>3655</v>
      </c>
      <c r="AS313" s="17"/>
      <c r="AT313" s="17"/>
      <c r="AU313" s="30" t="s">
        <v>3656</v>
      </c>
      <c r="AV313" s="14">
        <v>17732</v>
      </c>
      <c r="AW313" s="74">
        <v>309934</v>
      </c>
      <c r="AX313" s="1" t="s">
        <v>3657</v>
      </c>
      <c r="AY313" s="17" t="s">
        <v>101</v>
      </c>
    </row>
    <row r="314" spans="1:51" ht="15" customHeight="1" x14ac:dyDescent="0.25">
      <c r="A314" s="5">
        <v>313</v>
      </c>
      <c r="B314" s="9">
        <v>313</v>
      </c>
      <c r="C314" s="9" t="s">
        <v>3658</v>
      </c>
      <c r="D314" s="57" t="str">
        <f>HYPERLINK("http://prodenv.dep.state.fl.us/DepNexus/public/electronic-documents/OG_313/facility!search","OG_313_Docs")</f>
        <v>OG_313_Docs</v>
      </c>
      <c r="E314" s="57" t="str">
        <f>HYPERLINK("https://ca.dep.state.fl.us/mapdirect/?focus=oilandgas&amp;zoom=query&amp;querytype=oilandgas&amp;queryvalues=OG_313","OG_313_Map")</f>
        <v>OG_313_Map</v>
      </c>
      <c r="F314" s="1" t="s">
        <v>1797</v>
      </c>
      <c r="G314" s="1" t="s">
        <v>79</v>
      </c>
      <c r="H314" s="1" t="s">
        <v>3659</v>
      </c>
      <c r="I314" s="1" t="s">
        <v>3660</v>
      </c>
      <c r="J314" s="17" t="s">
        <v>82</v>
      </c>
      <c r="K314" s="17" t="s">
        <v>83</v>
      </c>
      <c r="L314" s="17"/>
      <c r="M314" s="17"/>
      <c r="N314" s="52" t="s">
        <v>3193</v>
      </c>
      <c r="O314" s="17" t="s">
        <v>86</v>
      </c>
      <c r="P314" s="17" t="s">
        <v>86</v>
      </c>
      <c r="Q314" s="81" t="s">
        <v>3661</v>
      </c>
      <c r="R314" s="11">
        <v>30.94359</v>
      </c>
      <c r="S314" s="11">
        <v>-87.140814000000006</v>
      </c>
      <c r="T314" s="11" t="s">
        <v>3662</v>
      </c>
      <c r="U314" s="11" t="s">
        <v>3663</v>
      </c>
      <c r="V314" s="17" t="s">
        <v>835</v>
      </c>
      <c r="W314" s="17" t="s">
        <v>110</v>
      </c>
      <c r="X314" s="70">
        <v>247</v>
      </c>
      <c r="Y314" s="70">
        <v>238</v>
      </c>
      <c r="Z314" s="13">
        <v>23432</v>
      </c>
      <c r="AA314" s="13">
        <v>23434</v>
      </c>
      <c r="AB314" s="13">
        <v>23448</v>
      </c>
      <c r="AC314" s="13">
        <v>23448</v>
      </c>
      <c r="AD314" s="86">
        <v>6580</v>
      </c>
      <c r="AE314" s="86">
        <v>6580</v>
      </c>
      <c r="AF314" s="70" t="s">
        <v>94</v>
      </c>
      <c r="AG314" s="17" t="s">
        <v>3664</v>
      </c>
      <c r="AH314" s="17" t="s">
        <v>94</v>
      </c>
      <c r="AI314" s="70" t="s">
        <v>94</v>
      </c>
      <c r="AJ314" s="17" t="s">
        <v>94</v>
      </c>
      <c r="AK314" s="17" t="s">
        <v>95</v>
      </c>
      <c r="AL314" s="17" t="s">
        <v>86</v>
      </c>
      <c r="AM314" s="17" t="s">
        <v>825</v>
      </c>
      <c r="AN314" s="17" t="s">
        <v>94</v>
      </c>
      <c r="AO314" s="17" t="s">
        <v>98</v>
      </c>
      <c r="AP314" s="17" t="s">
        <v>98</v>
      </c>
      <c r="AQ314" s="17" t="s">
        <v>98</v>
      </c>
      <c r="AR314" s="17" t="s">
        <v>94</v>
      </c>
      <c r="AS314" s="17" t="s">
        <v>3665</v>
      </c>
      <c r="AT314" s="17"/>
      <c r="AU314" s="30" t="s">
        <v>3666</v>
      </c>
      <c r="AV314" s="14">
        <v>6598</v>
      </c>
      <c r="AW314" s="74"/>
      <c r="AX314" s="1"/>
      <c r="AY314" s="17" t="s">
        <v>101</v>
      </c>
    </row>
    <row r="315" spans="1:51" ht="12.75" customHeight="1" x14ac:dyDescent="0.25">
      <c r="A315" s="5">
        <v>314</v>
      </c>
      <c r="B315" s="9">
        <v>314</v>
      </c>
      <c r="C315" s="9" t="s">
        <v>3667</v>
      </c>
      <c r="D315" s="57" t="str">
        <f>HYPERLINK("http://prodenv.dep.state.fl.us/DepNexus/public/electronic-documents/OG_314/facility!search","OG_314_Docs")</f>
        <v>OG_314_Docs</v>
      </c>
      <c r="E315" s="57" t="str">
        <f>HYPERLINK("https://ca.dep.state.fl.us/mapdirect/?focus=oilandgas&amp;zoom=query&amp;querytype=oilandgas&amp;queryvalues=OG_314","OG_314_Map")</f>
        <v>OG_314_Map</v>
      </c>
      <c r="F315" s="1" t="s">
        <v>1752</v>
      </c>
      <c r="G315" s="1" t="s">
        <v>3668</v>
      </c>
      <c r="H315" s="1" t="s">
        <v>3669</v>
      </c>
      <c r="I315" s="1" t="s">
        <v>2055</v>
      </c>
      <c r="J315" s="17" t="s">
        <v>268</v>
      </c>
      <c r="K315" s="17" t="s">
        <v>412</v>
      </c>
      <c r="L315" s="17"/>
      <c r="M315" s="17"/>
      <c r="N315" s="52" t="s">
        <v>3670</v>
      </c>
      <c r="O315" s="17" t="s">
        <v>86</v>
      </c>
      <c r="P315" s="17" t="s">
        <v>86</v>
      </c>
      <c r="Q315" s="81" t="s">
        <v>3671</v>
      </c>
      <c r="R315" s="11">
        <v>26.541208000000001</v>
      </c>
      <c r="S315" s="11">
        <v>-81.456753000000006</v>
      </c>
      <c r="T315" s="11" t="s">
        <v>3672</v>
      </c>
      <c r="U315" s="11" t="s">
        <v>3673</v>
      </c>
      <c r="V315" s="17" t="s">
        <v>3674</v>
      </c>
      <c r="W315" s="17" t="s">
        <v>110</v>
      </c>
      <c r="X315" s="70">
        <v>51</v>
      </c>
      <c r="Y315" s="70">
        <v>35</v>
      </c>
      <c r="Z315" s="13">
        <v>23544</v>
      </c>
      <c r="AA315" s="13">
        <v>23497</v>
      </c>
      <c r="AB315" s="13">
        <v>23996</v>
      </c>
      <c r="AC315" s="13">
        <v>31370</v>
      </c>
      <c r="AD315" s="86">
        <v>12680</v>
      </c>
      <c r="AE315" s="86">
        <v>12680</v>
      </c>
      <c r="AF315" s="70" t="s">
        <v>3675</v>
      </c>
      <c r="AG315" s="17" t="s">
        <v>3676</v>
      </c>
      <c r="AH315" s="17" t="s">
        <v>3677</v>
      </c>
      <c r="AI315" s="70" t="s">
        <v>3678</v>
      </c>
      <c r="AJ315" s="17" t="s">
        <v>3679</v>
      </c>
      <c r="AK315" s="17" t="s">
        <v>95</v>
      </c>
      <c r="AL315" s="17" t="s">
        <v>86</v>
      </c>
      <c r="AM315" s="17" t="s">
        <v>94</v>
      </c>
      <c r="AN315" s="17" t="s">
        <v>95</v>
      </c>
      <c r="AO315" s="17" t="s">
        <v>3680</v>
      </c>
      <c r="AP315" s="17" t="s">
        <v>3681</v>
      </c>
      <c r="AQ315" s="17" t="s">
        <v>3682</v>
      </c>
      <c r="AR315" s="17" t="s">
        <v>3683</v>
      </c>
      <c r="AS315" s="17" t="s">
        <v>3684</v>
      </c>
      <c r="AT315" s="17"/>
      <c r="AU315" s="30" t="s">
        <v>3685</v>
      </c>
      <c r="AV315" s="14">
        <v>6644</v>
      </c>
      <c r="AW315" s="74"/>
      <c r="AX315" s="1"/>
      <c r="AY315" s="17" t="s">
        <v>101</v>
      </c>
    </row>
    <row r="316" spans="1:51" ht="15" customHeight="1" x14ac:dyDescent="0.25">
      <c r="A316" s="5">
        <v>315</v>
      </c>
      <c r="B316" s="9">
        <v>315</v>
      </c>
      <c r="C316" s="9" t="s">
        <v>3686</v>
      </c>
      <c r="D316" s="57" t="str">
        <f>HYPERLINK("http://prodenv.dep.state.fl.us/DepNexus/public/electronic-documents/OG_315/facility!search","OG_315_Docs")</f>
        <v>OG_315_Docs</v>
      </c>
      <c r="E316" s="57" t="str">
        <f>HYPERLINK("https://ca.dep.state.fl.us/mapdirect/?focus=oilandgas&amp;zoom=query&amp;querytype=oilandgas&amp;queryvalues=OG_315","OG_315_Map")</f>
        <v>OG_315_Map</v>
      </c>
      <c r="F316" s="1" t="s">
        <v>1752</v>
      </c>
      <c r="G316" s="1" t="s">
        <v>3668</v>
      </c>
      <c r="H316" s="1" t="s">
        <v>3669</v>
      </c>
      <c r="I316" s="1" t="s">
        <v>3687</v>
      </c>
      <c r="J316" s="17" t="s">
        <v>268</v>
      </c>
      <c r="K316" s="17" t="s">
        <v>412</v>
      </c>
      <c r="L316" s="17"/>
      <c r="M316" s="17" t="s">
        <v>101</v>
      </c>
      <c r="N316" s="52" t="s">
        <v>3688</v>
      </c>
      <c r="O316" s="17" t="s">
        <v>86</v>
      </c>
      <c r="P316" s="17" t="s">
        <v>86</v>
      </c>
      <c r="Q316" s="81" t="s">
        <v>3689</v>
      </c>
      <c r="R316" s="11">
        <v>26.527301999999999</v>
      </c>
      <c r="S316" s="11">
        <v>-81.437743999999995</v>
      </c>
      <c r="T316" s="11" t="s">
        <v>3690</v>
      </c>
      <c r="U316" s="11" t="s">
        <v>3691</v>
      </c>
      <c r="V316" s="17" t="s">
        <v>3692</v>
      </c>
      <c r="W316" s="17" t="s">
        <v>110</v>
      </c>
      <c r="X316" s="70">
        <v>53</v>
      </c>
      <c r="Y316" s="70">
        <v>37</v>
      </c>
      <c r="Z316" s="13">
        <v>23544</v>
      </c>
      <c r="AA316" s="13">
        <v>23553</v>
      </c>
      <c r="AB316" s="13">
        <v>23580</v>
      </c>
      <c r="AC316" s="13">
        <v>33785</v>
      </c>
      <c r="AD316" s="86">
        <v>11485</v>
      </c>
      <c r="AE316" s="86">
        <v>11485</v>
      </c>
      <c r="AF316" s="70" t="s">
        <v>3693</v>
      </c>
      <c r="AG316" s="17" t="s">
        <v>3694</v>
      </c>
      <c r="AH316" s="17" t="s">
        <v>3695</v>
      </c>
      <c r="AI316" s="70" t="s">
        <v>3696</v>
      </c>
      <c r="AJ316" s="17" t="s">
        <v>3697</v>
      </c>
      <c r="AK316" s="17" t="s">
        <v>95</v>
      </c>
      <c r="AL316" s="17" t="s">
        <v>86</v>
      </c>
      <c r="AM316" s="17" t="s">
        <v>94</v>
      </c>
      <c r="AN316" s="17" t="s">
        <v>3698</v>
      </c>
      <c r="AO316" s="17" t="s">
        <v>3699</v>
      </c>
      <c r="AP316" s="17" t="s">
        <v>3700</v>
      </c>
      <c r="AQ316" s="17" t="s">
        <v>3701</v>
      </c>
      <c r="AR316" s="17" t="s">
        <v>3702</v>
      </c>
      <c r="AS316" s="17" t="s">
        <v>3703</v>
      </c>
      <c r="AT316" s="17">
        <v>198</v>
      </c>
      <c r="AU316" s="30" t="s">
        <v>3704</v>
      </c>
      <c r="AV316" s="14">
        <v>6682</v>
      </c>
      <c r="AW316" s="74"/>
      <c r="AX316" s="39" t="s">
        <v>3705</v>
      </c>
      <c r="AY316" s="17" t="s">
        <v>101</v>
      </c>
    </row>
    <row r="317" spans="1:51" ht="15" customHeight="1" x14ac:dyDescent="0.25">
      <c r="A317" s="5">
        <v>316</v>
      </c>
      <c r="B317" s="9">
        <v>316</v>
      </c>
      <c r="C317" s="9" t="s">
        <v>3706</v>
      </c>
      <c r="D317" s="57" t="str">
        <f>HYPERLINK("http://prodenv.dep.state.fl.us/DepNexus/public/electronic-documents/OG_316/facility!search","OG_316_Docs")</f>
        <v>OG_316_Docs</v>
      </c>
      <c r="E317" s="57" t="str">
        <f>HYPERLINK("https://ca.dep.state.fl.us/mapdirect/?focus=oilandgas&amp;zoom=query&amp;querytype=oilandgas&amp;queryvalues=OG_316","OG_316_Map")</f>
        <v>OG_316_Map</v>
      </c>
      <c r="F317" s="1" t="s">
        <v>265</v>
      </c>
      <c r="G317" s="1" t="s">
        <v>266</v>
      </c>
      <c r="H317" s="1" t="s">
        <v>3624</v>
      </c>
      <c r="I317" s="1" t="s">
        <v>3707</v>
      </c>
      <c r="J317" s="17" t="s">
        <v>268</v>
      </c>
      <c r="K317" s="17" t="s">
        <v>412</v>
      </c>
      <c r="L317" s="17"/>
      <c r="M317" s="17"/>
      <c r="N317" s="52" t="s">
        <v>3535</v>
      </c>
      <c r="O317" s="17" t="s">
        <v>270</v>
      </c>
      <c r="P317" s="17" t="s">
        <v>86</v>
      </c>
      <c r="Q317" s="81" t="s">
        <v>1082</v>
      </c>
      <c r="R317" s="11">
        <v>26.290178999999998</v>
      </c>
      <c r="S317" s="11">
        <v>-81.361288999999999</v>
      </c>
      <c r="T317" s="11" t="s">
        <v>3708</v>
      </c>
      <c r="U317" s="11" t="s">
        <v>3709</v>
      </c>
      <c r="V317" s="17" t="s">
        <v>2320</v>
      </c>
      <c r="W317" s="17" t="s">
        <v>110</v>
      </c>
      <c r="X317" s="70">
        <v>35</v>
      </c>
      <c r="Y317" s="70">
        <v>18</v>
      </c>
      <c r="Z317" s="13">
        <v>23551</v>
      </c>
      <c r="AA317" s="13">
        <v>23594</v>
      </c>
      <c r="AB317" s="13">
        <v>23658</v>
      </c>
      <c r="AC317" s="13">
        <v>35594</v>
      </c>
      <c r="AD317" s="86">
        <v>11650</v>
      </c>
      <c r="AE317" s="86">
        <v>11650</v>
      </c>
      <c r="AF317" s="70" t="s">
        <v>3710</v>
      </c>
      <c r="AG317" s="17" t="s">
        <v>3711</v>
      </c>
      <c r="AH317" s="17" t="s">
        <v>3712</v>
      </c>
      <c r="AI317" s="70" t="s">
        <v>3713</v>
      </c>
      <c r="AJ317" s="17" t="s">
        <v>3714</v>
      </c>
      <c r="AK317" s="17" t="s">
        <v>95</v>
      </c>
      <c r="AL317" s="17" t="s">
        <v>3715</v>
      </c>
      <c r="AM317" s="17" t="s">
        <v>825</v>
      </c>
      <c r="AN317" s="17" t="s">
        <v>3716</v>
      </c>
      <c r="AO317" s="17" t="s">
        <v>3717</v>
      </c>
      <c r="AP317" s="17" t="s">
        <v>3638</v>
      </c>
      <c r="AQ317" s="17" t="s">
        <v>3718</v>
      </c>
      <c r="AR317" s="17" t="s">
        <v>3719</v>
      </c>
      <c r="AS317" s="17" t="s">
        <v>3720</v>
      </c>
      <c r="AT317" s="17"/>
      <c r="AU317" s="30" t="s">
        <v>3721</v>
      </c>
      <c r="AV317" s="14">
        <v>7008</v>
      </c>
      <c r="AW317" s="74"/>
      <c r="AX317" s="1"/>
      <c r="AY317" s="17" t="s">
        <v>101</v>
      </c>
    </row>
    <row r="318" spans="1:51" ht="15" customHeight="1" x14ac:dyDescent="0.25">
      <c r="A318" s="5">
        <v>317</v>
      </c>
      <c r="B318" s="9">
        <v>317</v>
      </c>
      <c r="C318" s="9" t="s">
        <v>3722</v>
      </c>
      <c r="D318" s="57" t="str">
        <f>HYPERLINK("http://prodenv.dep.state.fl.us/DepNexus/public/electronic-documents/OG_317/facility!search","OG_317_Docs")</f>
        <v>OG_317_Docs</v>
      </c>
      <c r="E318" s="57" t="str">
        <f>HYPERLINK("https://ca.dep.state.fl.us/mapdirect/?focus=oilandgas&amp;zoom=query&amp;querytype=oilandgas&amp;queryvalues=OG_317","OG_317_Map")</f>
        <v>OG_317_Map</v>
      </c>
      <c r="F318" s="1" t="s">
        <v>265</v>
      </c>
      <c r="G318" s="1" t="s">
        <v>266</v>
      </c>
      <c r="H318" s="1" t="s">
        <v>176</v>
      </c>
      <c r="I318" s="1" t="s">
        <v>3723</v>
      </c>
      <c r="J318" s="17" t="s">
        <v>268</v>
      </c>
      <c r="K318" s="17" t="s">
        <v>412</v>
      </c>
      <c r="L318" s="17"/>
      <c r="M318" s="17"/>
      <c r="N318" s="52" t="s">
        <v>3535</v>
      </c>
      <c r="O318" s="17" t="s">
        <v>270</v>
      </c>
      <c r="P318" s="17" t="s">
        <v>86</v>
      </c>
      <c r="Q318" s="81" t="s">
        <v>714</v>
      </c>
      <c r="R318" s="11">
        <v>26.285634999999999</v>
      </c>
      <c r="S318" s="11">
        <v>-81.344847999999999</v>
      </c>
      <c r="T318" s="11" t="s">
        <v>3724</v>
      </c>
      <c r="U318" s="11" t="s">
        <v>3725</v>
      </c>
      <c r="V318" s="17" t="s">
        <v>3726</v>
      </c>
      <c r="W318" s="17" t="s">
        <v>110</v>
      </c>
      <c r="X318" s="70">
        <v>34.47</v>
      </c>
      <c r="Y318" s="70">
        <v>17.95</v>
      </c>
      <c r="Z318" s="13">
        <v>23551</v>
      </c>
      <c r="AA318" s="13">
        <v>23634</v>
      </c>
      <c r="AB318" s="13">
        <v>23685</v>
      </c>
      <c r="AC318" s="13">
        <v>31769</v>
      </c>
      <c r="AD318" s="86">
        <v>11655</v>
      </c>
      <c r="AE318" s="86">
        <v>11655</v>
      </c>
      <c r="AF318" s="70" t="s">
        <v>3727</v>
      </c>
      <c r="AG318" s="17" t="s">
        <v>3728</v>
      </c>
      <c r="AH318" s="17" t="s">
        <v>3729</v>
      </c>
      <c r="AI318" s="70" t="s">
        <v>3730</v>
      </c>
      <c r="AJ318" s="17" t="s">
        <v>3731</v>
      </c>
      <c r="AK318" s="17" t="s">
        <v>95</v>
      </c>
      <c r="AL318" s="17" t="s">
        <v>86</v>
      </c>
      <c r="AM318" s="17" t="s">
        <v>825</v>
      </c>
      <c r="AN318" s="17" t="s">
        <v>86</v>
      </c>
      <c r="AO318" s="17" t="s">
        <v>3732</v>
      </c>
      <c r="AP318" s="17" t="s">
        <v>86</v>
      </c>
      <c r="AQ318" s="17" t="s">
        <v>3733</v>
      </c>
      <c r="AR318" s="17" t="s">
        <v>3734</v>
      </c>
      <c r="AS318" s="17" t="s">
        <v>3735</v>
      </c>
      <c r="AT318" s="17"/>
      <c r="AU318" s="30" t="s">
        <v>3736</v>
      </c>
      <c r="AV318" s="14">
        <v>7103</v>
      </c>
      <c r="AW318" s="74"/>
      <c r="AX318" s="1"/>
      <c r="AY318" s="17" t="s">
        <v>101</v>
      </c>
    </row>
    <row r="319" spans="1:51" ht="15" customHeight="1" x14ac:dyDescent="0.25">
      <c r="A319" s="5">
        <v>318</v>
      </c>
      <c r="B319" s="9">
        <v>318</v>
      </c>
      <c r="C319" s="9" t="s">
        <v>3737</v>
      </c>
      <c r="D319" s="57" t="str">
        <f>HYPERLINK("http://prodenv.dep.state.fl.us/DepNexus/public/electronic-documents/OG_318/facility!search","OG_318_Docs")</f>
        <v>OG_318_Docs</v>
      </c>
      <c r="E319" s="57" t="str">
        <f>HYPERLINK("https://ca.dep.state.fl.us/mapdirect/?focus=oilandgas&amp;zoom=query&amp;querytype=oilandgas&amp;queryvalues=OG_318","OG_318_Map")</f>
        <v>OG_318_Map</v>
      </c>
      <c r="F319" s="1" t="s">
        <v>1797</v>
      </c>
      <c r="G319" s="1" t="s">
        <v>79</v>
      </c>
      <c r="H319" s="1" t="s">
        <v>3738</v>
      </c>
      <c r="I319" s="1" t="s">
        <v>3739</v>
      </c>
      <c r="J319" s="17" t="s">
        <v>82</v>
      </c>
      <c r="K319" s="17" t="s">
        <v>83</v>
      </c>
      <c r="L319" s="17"/>
      <c r="M319" s="17"/>
      <c r="N319" s="52" t="s">
        <v>3193</v>
      </c>
      <c r="O319" s="17" t="s">
        <v>86</v>
      </c>
      <c r="P319" s="17" t="s">
        <v>86</v>
      </c>
      <c r="Q319" s="81" t="s">
        <v>3740</v>
      </c>
      <c r="R319" s="11">
        <v>30.938513</v>
      </c>
      <c r="S319" s="11">
        <v>-87.165818999999999</v>
      </c>
      <c r="T319" s="11" t="s">
        <v>3741</v>
      </c>
      <c r="U319" s="11" t="s">
        <v>3742</v>
      </c>
      <c r="V319" s="17" t="s">
        <v>3743</v>
      </c>
      <c r="W319" s="17" t="s">
        <v>110</v>
      </c>
      <c r="X319" s="70">
        <v>274</v>
      </c>
      <c r="Y319" s="70">
        <v>264</v>
      </c>
      <c r="Z319" s="13">
        <v>23600</v>
      </c>
      <c r="AA319" s="13">
        <v>23592</v>
      </c>
      <c r="AB319" s="13">
        <v>23612</v>
      </c>
      <c r="AC319" s="13">
        <v>23613</v>
      </c>
      <c r="AD319" s="86">
        <v>6524</v>
      </c>
      <c r="AE319" s="86">
        <v>6524</v>
      </c>
      <c r="AF319" s="70" t="s">
        <v>94</v>
      </c>
      <c r="AG319" s="17" t="s">
        <v>3744</v>
      </c>
      <c r="AH319" s="17" t="s">
        <v>94</v>
      </c>
      <c r="AI319" s="70" t="s">
        <v>94</v>
      </c>
      <c r="AJ319" s="17" t="s">
        <v>94</v>
      </c>
      <c r="AK319" s="17" t="s">
        <v>95</v>
      </c>
      <c r="AL319" s="17" t="s">
        <v>86</v>
      </c>
      <c r="AM319" s="17" t="s">
        <v>825</v>
      </c>
      <c r="AN319" s="17" t="s">
        <v>86</v>
      </c>
      <c r="AO319" s="17" t="s">
        <v>98</v>
      </c>
      <c r="AP319" s="17" t="s">
        <v>98</v>
      </c>
      <c r="AQ319" s="17" t="s">
        <v>98</v>
      </c>
      <c r="AR319" s="17" t="s">
        <v>94</v>
      </c>
      <c r="AS319" s="17" t="s">
        <v>3745</v>
      </c>
      <c r="AT319" s="17"/>
      <c r="AU319" s="30" t="s">
        <v>3746</v>
      </c>
      <c r="AV319" s="14">
        <v>6926</v>
      </c>
      <c r="AW319" s="74"/>
      <c r="AX319" s="1"/>
      <c r="AY319" s="17" t="s">
        <v>101</v>
      </c>
    </row>
    <row r="320" spans="1:51" ht="15" customHeight="1" x14ac:dyDescent="0.25">
      <c r="A320" s="5">
        <v>319</v>
      </c>
      <c r="B320" s="9">
        <v>319</v>
      </c>
      <c r="C320" s="9" t="s">
        <v>3747</v>
      </c>
      <c r="D320" s="57" t="str">
        <f>HYPERLINK("http://prodenv.dep.state.fl.us/DepNexus/public/electronic-documents/OG_319/facility!search","OG_319_Docs")</f>
        <v>OG_319_Docs</v>
      </c>
      <c r="E320" s="57" t="str">
        <f>HYPERLINK("https://ca.dep.state.fl.us/mapdirect/?focus=oilandgas&amp;zoom=query&amp;querytype=oilandgas&amp;queryvalues=OG_319","OG_319_Map")</f>
        <v>OG_319_Map</v>
      </c>
      <c r="F320" s="1" t="s">
        <v>265</v>
      </c>
      <c r="G320" s="1" t="s">
        <v>3668</v>
      </c>
      <c r="H320" s="1" t="s">
        <v>3669</v>
      </c>
      <c r="I320" s="1" t="s">
        <v>3748</v>
      </c>
      <c r="J320" s="17" t="s">
        <v>1476</v>
      </c>
      <c r="K320" s="17" t="s">
        <v>412</v>
      </c>
      <c r="L320" s="17"/>
      <c r="M320" s="17" t="s">
        <v>101</v>
      </c>
      <c r="N320" s="52" t="s">
        <v>86</v>
      </c>
      <c r="O320" s="17" t="s">
        <v>86</v>
      </c>
      <c r="P320" s="17" t="s">
        <v>86</v>
      </c>
      <c r="Q320" s="81" t="s">
        <v>3749</v>
      </c>
      <c r="R320" s="11">
        <v>26.511679999999998</v>
      </c>
      <c r="S320" s="11">
        <v>-81.423190000000005</v>
      </c>
      <c r="T320" s="11" t="s">
        <v>3750</v>
      </c>
      <c r="U320" s="11" t="s">
        <v>3751</v>
      </c>
      <c r="V320" s="17" t="s">
        <v>3752</v>
      </c>
      <c r="W320" s="17" t="s">
        <v>110</v>
      </c>
      <c r="X320" s="70">
        <v>55</v>
      </c>
      <c r="Y320" s="70">
        <v>38</v>
      </c>
      <c r="Z320" s="13">
        <v>23670</v>
      </c>
      <c r="AA320" s="13">
        <v>23668</v>
      </c>
      <c r="AB320" s="13"/>
      <c r="AC320" s="13">
        <v>23688</v>
      </c>
      <c r="AD320" s="86">
        <v>4550</v>
      </c>
      <c r="AE320" s="86">
        <v>4550</v>
      </c>
      <c r="AF320" s="70" t="s">
        <v>3753</v>
      </c>
      <c r="AG320" s="17" t="s">
        <v>3754</v>
      </c>
      <c r="AH320" s="17" t="s">
        <v>94</v>
      </c>
      <c r="AI320" s="70" t="s">
        <v>94</v>
      </c>
      <c r="AJ320" s="17" t="s">
        <v>94</v>
      </c>
      <c r="AK320" s="17" t="s">
        <v>95</v>
      </c>
      <c r="AL320" s="17" t="s">
        <v>86</v>
      </c>
      <c r="AM320" s="17" t="s">
        <v>825</v>
      </c>
      <c r="AN320" s="17" t="s">
        <v>86</v>
      </c>
      <c r="AO320" s="17" t="s">
        <v>98</v>
      </c>
      <c r="AP320" s="17" t="s">
        <v>98</v>
      </c>
      <c r="AQ320" s="17" t="s">
        <v>98</v>
      </c>
      <c r="AR320" s="17" t="s">
        <v>94</v>
      </c>
      <c r="AS320" s="17" t="s">
        <v>3755</v>
      </c>
      <c r="AT320" s="17"/>
      <c r="AU320" s="30" t="s">
        <v>3756</v>
      </c>
      <c r="AV320" s="14">
        <v>6924</v>
      </c>
      <c r="AW320" s="74"/>
      <c r="AX320" s="1" t="s">
        <v>3757</v>
      </c>
      <c r="AY320" s="17" t="s">
        <v>101</v>
      </c>
    </row>
    <row r="321" spans="1:51" ht="12.75" customHeight="1" x14ac:dyDescent="0.25">
      <c r="A321" s="5">
        <v>319.10000000000002</v>
      </c>
      <c r="B321" s="9" t="s">
        <v>3758</v>
      </c>
      <c r="C321" s="9" t="s">
        <v>3747</v>
      </c>
      <c r="D321" s="57" t="str">
        <f>HYPERLINK("http://prodenv.dep.state.fl.us/DepNexus/public/electronic-documents/OG_319/facility!search","OG_319_Docs")</f>
        <v>OG_319_Docs</v>
      </c>
      <c r="E321" s="57" t="str">
        <f>HYPERLINK("https://ca.dep.state.fl.us/mapdirect/?focus=oilandgas&amp;zoom=query&amp;querytype=oilandgas&amp;queryvalues=OG_319","OG_319_Map")</f>
        <v>OG_319_Map</v>
      </c>
      <c r="F321" s="1" t="s">
        <v>265</v>
      </c>
      <c r="G321" s="1" t="s">
        <v>3668</v>
      </c>
      <c r="H321" s="1" t="s">
        <v>3669</v>
      </c>
      <c r="I321" s="1" t="s">
        <v>3759</v>
      </c>
      <c r="J321" s="17" t="s">
        <v>268</v>
      </c>
      <c r="K321" s="17" t="s">
        <v>412</v>
      </c>
      <c r="L321" s="17" t="s">
        <v>101</v>
      </c>
      <c r="M321" s="17" t="s">
        <v>101</v>
      </c>
      <c r="N321" s="52" t="s">
        <v>3760</v>
      </c>
      <c r="O321" s="17" t="s">
        <v>86</v>
      </c>
      <c r="P321" s="17" t="s">
        <v>86</v>
      </c>
      <c r="Q321" s="81" t="s">
        <v>3749</v>
      </c>
      <c r="R321" s="11">
        <v>26.511679999999998</v>
      </c>
      <c r="S321" s="11">
        <v>-81.423190000000005</v>
      </c>
      <c r="T321" s="11" t="s">
        <v>3750</v>
      </c>
      <c r="U321" s="11" t="s">
        <v>3751</v>
      </c>
      <c r="V321" s="17" t="s">
        <v>3752</v>
      </c>
      <c r="W321" s="17" t="s">
        <v>110</v>
      </c>
      <c r="X321" s="70">
        <v>55.25</v>
      </c>
      <c r="Y321" s="70">
        <v>38.4</v>
      </c>
      <c r="Z321" s="13">
        <v>23719</v>
      </c>
      <c r="AA321" s="13">
        <v>23696</v>
      </c>
      <c r="AB321" s="13">
        <v>23732</v>
      </c>
      <c r="AC321" s="13">
        <v>33039</v>
      </c>
      <c r="AD321" s="86">
        <v>11495</v>
      </c>
      <c r="AE321" s="86">
        <v>11495</v>
      </c>
      <c r="AF321" s="70" t="s">
        <v>3761</v>
      </c>
      <c r="AG321" s="17" t="s">
        <v>3762</v>
      </c>
      <c r="AH321" s="17" t="s">
        <v>3763</v>
      </c>
      <c r="AI321" s="70" t="s">
        <v>3764</v>
      </c>
      <c r="AJ321" s="17" t="s">
        <v>3765</v>
      </c>
      <c r="AK321" s="17" t="s">
        <v>95</v>
      </c>
      <c r="AL321" s="17" t="s">
        <v>86</v>
      </c>
      <c r="AM321" s="17" t="s">
        <v>825</v>
      </c>
      <c r="AN321" s="17" t="s">
        <v>86</v>
      </c>
      <c r="AO321" s="17" t="s">
        <v>3766</v>
      </c>
      <c r="AP321" s="17" t="s">
        <v>3767</v>
      </c>
      <c r="AQ321" s="17" t="s">
        <v>3768</v>
      </c>
      <c r="AR321" s="17" t="s">
        <v>3769</v>
      </c>
      <c r="AS321" s="17" t="s">
        <v>3770</v>
      </c>
      <c r="AT321" s="17">
        <v>185</v>
      </c>
      <c r="AU321" s="30" t="s">
        <v>3771</v>
      </c>
      <c r="AV321" s="14">
        <v>7007</v>
      </c>
      <c r="AW321" s="74"/>
      <c r="AX321" s="1"/>
      <c r="AY321" s="17" t="s">
        <v>101</v>
      </c>
    </row>
    <row r="322" spans="1:51" ht="15" customHeight="1" x14ac:dyDescent="0.25">
      <c r="A322" s="5">
        <v>320</v>
      </c>
      <c r="B322" s="9">
        <v>320</v>
      </c>
      <c r="C322" s="9" t="s">
        <v>3772</v>
      </c>
      <c r="D322" s="57" t="str">
        <f>HYPERLINK("http://prodenv.dep.state.fl.us/DepNexus/public/electronic-documents/OG_320/facility!search","OG_320_Docs")</f>
        <v>OG_320_Docs</v>
      </c>
      <c r="E322" s="57" t="str">
        <f>HYPERLINK("https://ca.dep.state.fl.us/mapdirect/?focus=oilandgas&amp;zoom=query&amp;querytype=oilandgas&amp;queryvalues=OG_320","OG_320_Map")</f>
        <v>OG_320_Map</v>
      </c>
      <c r="F322" s="1" t="s">
        <v>1797</v>
      </c>
      <c r="G322" s="1" t="s">
        <v>79</v>
      </c>
      <c r="H322" s="1" t="s">
        <v>3773</v>
      </c>
      <c r="I322" s="1" t="s">
        <v>3774</v>
      </c>
      <c r="J322" s="17" t="s">
        <v>82</v>
      </c>
      <c r="K322" s="17" t="s">
        <v>83</v>
      </c>
      <c r="L322" s="17"/>
      <c r="M322" s="17"/>
      <c r="N322" s="52" t="s">
        <v>3688</v>
      </c>
      <c r="O322" s="17" t="s">
        <v>86</v>
      </c>
      <c r="P322" s="17" t="s">
        <v>86</v>
      </c>
      <c r="Q322" s="81" t="s">
        <v>3775</v>
      </c>
      <c r="R322" s="11">
        <v>30.936761000000001</v>
      </c>
      <c r="S322" s="11">
        <v>-87.141493999999994</v>
      </c>
      <c r="T322" s="11" t="s">
        <v>3776</v>
      </c>
      <c r="U322" s="11" t="s">
        <v>3777</v>
      </c>
      <c r="V322" s="17" t="s">
        <v>925</v>
      </c>
      <c r="W322" s="17" t="s">
        <v>110</v>
      </c>
      <c r="X322" s="70">
        <v>251</v>
      </c>
      <c r="Y322" s="70">
        <v>243.7</v>
      </c>
      <c r="Z322" s="13">
        <v>23719</v>
      </c>
      <c r="AA322" s="13">
        <v>23725</v>
      </c>
      <c r="AB322" s="13"/>
      <c r="AC322" s="13">
        <v>23738</v>
      </c>
      <c r="AD322" s="86">
        <v>6535</v>
      </c>
      <c r="AE322" s="86">
        <v>6535</v>
      </c>
      <c r="AF322" s="70" t="s">
        <v>94</v>
      </c>
      <c r="AG322" s="17" t="s">
        <v>3778</v>
      </c>
      <c r="AH322" s="17" t="s">
        <v>94</v>
      </c>
      <c r="AI322" s="70" t="s">
        <v>94</v>
      </c>
      <c r="AJ322" s="17" t="s">
        <v>94</v>
      </c>
      <c r="AK322" s="17" t="s">
        <v>95</v>
      </c>
      <c r="AL322" s="17" t="s">
        <v>86</v>
      </c>
      <c r="AM322" s="17" t="s">
        <v>825</v>
      </c>
      <c r="AN322" s="17" t="s">
        <v>94</v>
      </c>
      <c r="AO322" s="17" t="s">
        <v>98</v>
      </c>
      <c r="AP322" s="17" t="s">
        <v>98</v>
      </c>
      <c r="AQ322" s="17" t="s">
        <v>98</v>
      </c>
      <c r="AR322" s="17" t="s">
        <v>94</v>
      </c>
      <c r="AS322" s="17" t="s">
        <v>3779</v>
      </c>
      <c r="AT322" s="17"/>
      <c r="AU322" s="30" t="s">
        <v>3780</v>
      </c>
      <c r="AV322" s="14">
        <v>7164</v>
      </c>
      <c r="AW322" s="74"/>
      <c r="AX322" s="1"/>
      <c r="AY322" s="17" t="s">
        <v>101</v>
      </c>
    </row>
    <row r="323" spans="1:51" ht="15" customHeight="1" x14ac:dyDescent="0.25">
      <c r="A323" s="5">
        <v>321</v>
      </c>
      <c r="B323" s="9">
        <v>321</v>
      </c>
      <c r="C323" s="9" t="s">
        <v>3781</v>
      </c>
      <c r="D323" s="57" t="str">
        <f>HYPERLINK("http://prodenv.dep.state.fl.us/DepNexus/public/electronic-documents/OG_321/facility!search","OG_321_Docs")</f>
        <v>OG_321_Docs</v>
      </c>
      <c r="E323" s="57" t="str">
        <f>HYPERLINK("https://ca.dep.state.fl.us/mapdirect/?focus=oilandgas&amp;zoom=query&amp;querytype=oilandgas&amp;queryvalues=OG_321","OG_321_Map")</f>
        <v>OG_321_Map</v>
      </c>
      <c r="F323" s="1" t="s">
        <v>265</v>
      </c>
      <c r="G323" s="1" t="s">
        <v>3668</v>
      </c>
      <c r="H323" s="1" t="s">
        <v>3669</v>
      </c>
      <c r="I323" s="1" t="s">
        <v>3782</v>
      </c>
      <c r="J323" s="17" t="s">
        <v>82</v>
      </c>
      <c r="K323" s="17" t="s">
        <v>83</v>
      </c>
      <c r="L323" s="17"/>
      <c r="M323" s="17"/>
      <c r="N323" s="52" t="s">
        <v>3688</v>
      </c>
      <c r="O323" s="17" t="s">
        <v>86</v>
      </c>
      <c r="P323" s="17" t="s">
        <v>86</v>
      </c>
      <c r="Q323" s="81" t="s">
        <v>3783</v>
      </c>
      <c r="R323" s="11">
        <v>26.511873000000001</v>
      </c>
      <c r="S323" s="11">
        <v>-81.414833999999999</v>
      </c>
      <c r="T323" s="11" t="s">
        <v>3784</v>
      </c>
      <c r="U323" s="11" t="s">
        <v>3785</v>
      </c>
      <c r="V323" s="17" t="s">
        <v>3786</v>
      </c>
      <c r="W323" s="17" t="s">
        <v>110</v>
      </c>
      <c r="X323" s="70">
        <v>53.4</v>
      </c>
      <c r="Y323" s="70">
        <v>35</v>
      </c>
      <c r="Z323" s="13">
        <v>23740</v>
      </c>
      <c r="AA323" s="13">
        <v>23857</v>
      </c>
      <c r="AB323" s="13"/>
      <c r="AC323" s="13">
        <v>23885</v>
      </c>
      <c r="AD323" s="86">
        <v>11675</v>
      </c>
      <c r="AE323" s="86">
        <v>11675</v>
      </c>
      <c r="AF323" s="70" t="s">
        <v>3787</v>
      </c>
      <c r="AG323" s="17" t="s">
        <v>3788</v>
      </c>
      <c r="AH323" s="17" t="s">
        <v>3789</v>
      </c>
      <c r="AI323" s="70" t="s">
        <v>94</v>
      </c>
      <c r="AJ323" s="17" t="s">
        <v>94</v>
      </c>
      <c r="AK323" s="17" t="s">
        <v>94</v>
      </c>
      <c r="AL323" s="17" t="s">
        <v>94</v>
      </c>
      <c r="AM323" s="17" t="s">
        <v>94</v>
      </c>
      <c r="AN323" s="17" t="s">
        <v>94</v>
      </c>
      <c r="AO323" s="17" t="s">
        <v>98</v>
      </c>
      <c r="AP323" s="17" t="s">
        <v>98</v>
      </c>
      <c r="AQ323" s="17" t="s">
        <v>98</v>
      </c>
      <c r="AR323" s="17" t="s">
        <v>94</v>
      </c>
      <c r="AS323" s="17" t="s">
        <v>3790</v>
      </c>
      <c r="AT323" s="17"/>
      <c r="AU323" s="30" t="s">
        <v>3791</v>
      </c>
      <c r="AV323" s="14">
        <v>7107</v>
      </c>
      <c r="AW323" s="74"/>
      <c r="AX323" s="1"/>
      <c r="AY323" s="17" t="s">
        <v>101</v>
      </c>
    </row>
    <row r="324" spans="1:51" ht="12.75" customHeight="1" x14ac:dyDescent="0.25">
      <c r="A324" s="5">
        <v>322</v>
      </c>
      <c r="B324" s="9">
        <v>322</v>
      </c>
      <c r="C324" s="9" t="s">
        <v>3792</v>
      </c>
      <c r="D324" s="57" t="str">
        <f>HYPERLINK("http://prodenv.dep.state.fl.us/DepNexus/public/electronic-documents/OG_322/facility!search","OG_322_Docs")</f>
        <v>OG_322_Docs</v>
      </c>
      <c r="E324" s="57" t="str">
        <f>HYPERLINK("https://ca.dep.state.fl.us/mapdirect/?focus=oilandgas&amp;zoom=query&amp;querytype=oilandgas&amp;queryvalues=OG_322","OG_322_Map")</f>
        <v>OG_322_Map</v>
      </c>
      <c r="F324" s="1" t="s">
        <v>1752</v>
      </c>
      <c r="G324" s="1" t="s">
        <v>3668</v>
      </c>
      <c r="H324" s="1" t="s">
        <v>3669</v>
      </c>
      <c r="I324" s="1" t="s">
        <v>3793</v>
      </c>
      <c r="J324" s="17" t="s">
        <v>268</v>
      </c>
      <c r="K324" s="17" t="s">
        <v>412</v>
      </c>
      <c r="L324" s="17"/>
      <c r="M324" s="17"/>
      <c r="N324" s="52" t="s">
        <v>3794</v>
      </c>
      <c r="O324" s="17" t="s">
        <v>86</v>
      </c>
      <c r="P324" s="17" t="s">
        <v>86</v>
      </c>
      <c r="Q324" s="81" t="s">
        <v>3795</v>
      </c>
      <c r="R324" s="11">
        <v>26.526274000000001</v>
      </c>
      <c r="S324" s="11">
        <v>-81.430537000000001</v>
      </c>
      <c r="T324" s="11" t="s">
        <v>3796</v>
      </c>
      <c r="U324" s="11" t="s">
        <v>3797</v>
      </c>
      <c r="V324" s="17" t="s">
        <v>3798</v>
      </c>
      <c r="W324" s="17" t="s">
        <v>110</v>
      </c>
      <c r="X324" s="70">
        <v>53.1</v>
      </c>
      <c r="Y324" s="70">
        <v>37.5</v>
      </c>
      <c r="Z324" s="13">
        <v>23740</v>
      </c>
      <c r="AA324" s="13">
        <v>25203</v>
      </c>
      <c r="AB324" s="13">
        <v>23795</v>
      </c>
      <c r="AC324" s="13">
        <v>33546</v>
      </c>
      <c r="AD324" s="86">
        <v>11480</v>
      </c>
      <c r="AE324" s="86">
        <v>11480</v>
      </c>
      <c r="AF324" s="70" t="s">
        <v>3799</v>
      </c>
      <c r="AG324" s="17" t="s">
        <v>3800</v>
      </c>
      <c r="AH324" s="17" t="s">
        <v>3801</v>
      </c>
      <c r="AI324" s="70" t="s">
        <v>3802</v>
      </c>
      <c r="AJ324" s="17" t="s">
        <v>3803</v>
      </c>
      <c r="AK324" s="17" t="s">
        <v>95</v>
      </c>
      <c r="AL324" s="17" t="s">
        <v>94</v>
      </c>
      <c r="AM324" s="17" t="s">
        <v>94</v>
      </c>
      <c r="AN324" s="17" t="s">
        <v>94</v>
      </c>
      <c r="AO324" s="17" t="s">
        <v>3804</v>
      </c>
      <c r="AP324" s="17" t="s">
        <v>3805</v>
      </c>
      <c r="AQ324" s="17" t="s">
        <v>3806</v>
      </c>
      <c r="AR324" s="17" t="s">
        <v>3807</v>
      </c>
      <c r="AS324" s="17" t="s">
        <v>3808</v>
      </c>
      <c r="AT324" s="17"/>
      <c r="AU324" s="30" t="s">
        <v>3809</v>
      </c>
      <c r="AV324" s="14">
        <v>6928</v>
      </c>
      <c r="AW324" s="74"/>
      <c r="AX324" s="1"/>
      <c r="AY324" s="17" t="s">
        <v>101</v>
      </c>
    </row>
    <row r="325" spans="1:51" ht="15" customHeight="1" x14ac:dyDescent="0.25">
      <c r="A325" s="5">
        <v>323</v>
      </c>
      <c r="B325" s="9">
        <v>323</v>
      </c>
      <c r="C325" s="9" t="s">
        <v>3810</v>
      </c>
      <c r="D325" s="57" t="str">
        <f>HYPERLINK("http://prodenv.dep.state.fl.us/DepNexus/public/electronic-documents/OG_323/facility!search","OG_323_Docs")</f>
        <v>OG_323_Docs</v>
      </c>
      <c r="E325" s="57" t="str">
        <f>HYPERLINK("https://ca.dep.state.fl.us/mapdirect/?focus=oilandgas&amp;zoom=query&amp;querytype=oilandgas&amp;queryvalues=OG_323","OG_323_Map")</f>
        <v>OG_323_Map</v>
      </c>
      <c r="F325" s="1" t="s">
        <v>1752</v>
      </c>
      <c r="G325" s="1" t="s">
        <v>3668</v>
      </c>
      <c r="H325" s="1" t="s">
        <v>3811</v>
      </c>
      <c r="I325" s="1" t="s">
        <v>3812</v>
      </c>
      <c r="J325" s="17" t="s">
        <v>1365</v>
      </c>
      <c r="K325" s="17" t="s">
        <v>269</v>
      </c>
      <c r="L325" s="17"/>
      <c r="M325" s="17"/>
      <c r="N325" s="52" t="s">
        <v>3688</v>
      </c>
      <c r="O325" s="17" t="s">
        <v>86</v>
      </c>
      <c r="P325" s="17" t="s">
        <v>86</v>
      </c>
      <c r="Q325" s="81" t="s">
        <v>3813</v>
      </c>
      <c r="R325" s="11">
        <v>26.527895000000001</v>
      </c>
      <c r="S325" s="11">
        <v>-81.444647000000003</v>
      </c>
      <c r="T325" s="11" t="s">
        <v>3814</v>
      </c>
      <c r="U325" s="11" t="s">
        <v>3815</v>
      </c>
      <c r="V325" s="17" t="s">
        <v>3816</v>
      </c>
      <c r="W325" s="17" t="s">
        <v>110</v>
      </c>
      <c r="X325" s="70">
        <v>54</v>
      </c>
      <c r="Y325" s="70">
        <v>38</v>
      </c>
      <c r="Z325" s="13">
        <v>23754</v>
      </c>
      <c r="AA325" s="13">
        <v>23748</v>
      </c>
      <c r="AB325" s="13">
        <v>23968</v>
      </c>
      <c r="AC325" s="13"/>
      <c r="AD325" s="86">
        <v>3162</v>
      </c>
      <c r="AE325" s="86">
        <v>3162</v>
      </c>
      <c r="AF325" s="70" t="s">
        <v>3817</v>
      </c>
      <c r="AG325" s="17" t="s">
        <v>3818</v>
      </c>
      <c r="AH325" s="17" t="s">
        <v>94</v>
      </c>
      <c r="AI325" s="70" t="s">
        <v>3819</v>
      </c>
      <c r="AJ325" s="17" t="s">
        <v>3820</v>
      </c>
      <c r="AK325" s="17" t="s">
        <v>95</v>
      </c>
      <c r="AL325" s="17" t="s">
        <v>86</v>
      </c>
      <c r="AM325" s="17" t="s">
        <v>94</v>
      </c>
      <c r="AN325" s="17" t="s">
        <v>86</v>
      </c>
      <c r="AO325" s="17" t="s">
        <v>94</v>
      </c>
      <c r="AP325" s="17" t="s">
        <v>94</v>
      </c>
      <c r="AQ325" s="17" t="s">
        <v>94</v>
      </c>
      <c r="AR325" s="17" t="s">
        <v>94</v>
      </c>
      <c r="AS325" s="17"/>
      <c r="AT325" s="17"/>
      <c r="AU325" s="30" t="s">
        <v>3821</v>
      </c>
      <c r="AV325" s="14">
        <v>6929</v>
      </c>
      <c r="AW325" s="74">
        <v>314432</v>
      </c>
      <c r="AX325" s="1" t="s">
        <v>3822</v>
      </c>
      <c r="AY325" s="17" t="s">
        <v>101</v>
      </c>
    </row>
    <row r="326" spans="1:51" ht="12.75" customHeight="1" x14ac:dyDescent="0.25">
      <c r="A326" s="5">
        <v>323.10000000000002</v>
      </c>
      <c r="B326" s="9" t="s">
        <v>3823</v>
      </c>
      <c r="C326" s="9" t="s">
        <v>3824</v>
      </c>
      <c r="D326" s="57" t="str">
        <f>HYPERLINK("http://prodenv.dep.state.fl.us/DepNexus/public/electronic-documents/OG_323A/facility!search","OG_323A_Docs")</f>
        <v>OG_323A_Docs</v>
      </c>
      <c r="E326" s="57" t="str">
        <f>HYPERLINK("https://ca.dep.state.fl.us/mapdirect/?focus=oilandgas&amp;zoom=query&amp;querytype=oilandgas&amp;queryvalues=OG_323A","OG_323A_Map")</f>
        <v>OG_323A_Map</v>
      </c>
      <c r="F326" s="1" t="s">
        <v>1752</v>
      </c>
      <c r="G326" s="1" t="s">
        <v>3668</v>
      </c>
      <c r="H326" s="1" t="s">
        <v>3669</v>
      </c>
      <c r="I326" s="1" t="s">
        <v>3825</v>
      </c>
      <c r="J326" s="17" t="s">
        <v>268</v>
      </c>
      <c r="K326" s="17" t="s">
        <v>412</v>
      </c>
      <c r="L326" s="17"/>
      <c r="M326" s="17"/>
      <c r="N326" s="52" t="s">
        <v>3826</v>
      </c>
      <c r="O326" s="17" t="s">
        <v>86</v>
      </c>
      <c r="P326" s="17" t="s">
        <v>86</v>
      </c>
      <c r="Q326" s="81" t="s">
        <v>3813</v>
      </c>
      <c r="R326" s="11">
        <v>26.527896999999999</v>
      </c>
      <c r="S326" s="11">
        <v>-81.446179999999998</v>
      </c>
      <c r="T326" s="11" t="s">
        <v>3827</v>
      </c>
      <c r="U326" s="11" t="s">
        <v>3828</v>
      </c>
      <c r="V326" s="17" t="s">
        <v>3829</v>
      </c>
      <c r="W326" s="17" t="s">
        <v>110</v>
      </c>
      <c r="X326" s="70">
        <v>53</v>
      </c>
      <c r="Y326" s="70">
        <v>36</v>
      </c>
      <c r="Z326" s="13">
        <v>23796</v>
      </c>
      <c r="AA326" s="13">
        <v>23785</v>
      </c>
      <c r="AB326" s="13">
        <v>23828</v>
      </c>
      <c r="AC326" s="13">
        <v>33702</v>
      </c>
      <c r="AD326" s="86">
        <v>11493</v>
      </c>
      <c r="AE326" s="86">
        <v>11493</v>
      </c>
      <c r="AF326" s="70" t="s">
        <v>3830</v>
      </c>
      <c r="AG326" s="17" t="s">
        <v>3831</v>
      </c>
      <c r="AH326" s="17" t="s">
        <v>3832</v>
      </c>
      <c r="AI326" s="70" t="s">
        <v>3833</v>
      </c>
      <c r="AJ326" s="17" t="s">
        <v>94</v>
      </c>
      <c r="AK326" s="17" t="s">
        <v>95</v>
      </c>
      <c r="AL326" s="17" t="s">
        <v>86</v>
      </c>
      <c r="AM326" s="17" t="s">
        <v>94</v>
      </c>
      <c r="AN326" s="17" t="s">
        <v>94</v>
      </c>
      <c r="AO326" s="17" t="s">
        <v>3834</v>
      </c>
      <c r="AP326" s="17" t="s">
        <v>3835</v>
      </c>
      <c r="AQ326" s="17" t="s">
        <v>3836</v>
      </c>
      <c r="AR326" s="17" t="s">
        <v>3837</v>
      </c>
      <c r="AS326" s="17" t="s">
        <v>3838</v>
      </c>
      <c r="AT326" s="17">
        <v>182</v>
      </c>
      <c r="AU326" s="30" t="s">
        <v>3839</v>
      </c>
      <c r="AV326" s="14">
        <v>7192</v>
      </c>
      <c r="AW326" s="74">
        <v>314785</v>
      </c>
      <c r="AX326" s="1"/>
      <c r="AY326" s="17" t="s">
        <v>101</v>
      </c>
    </row>
    <row r="327" spans="1:51" ht="15" customHeight="1" x14ac:dyDescent="0.25">
      <c r="A327" s="5">
        <v>324</v>
      </c>
      <c r="B327" s="9">
        <v>324</v>
      </c>
      <c r="C327" s="9" t="s">
        <v>3840</v>
      </c>
      <c r="D327" s="57" t="str">
        <f>HYPERLINK("http://prodenv.dep.state.fl.us/DepNexus/public/electronic-documents/OG_324/facility!search","OG_324_Docs")</f>
        <v>OG_324_Docs</v>
      </c>
      <c r="E327" s="57" t="str">
        <f>HYPERLINK("https://ca.dep.state.fl.us/mapdirect/?focus=oilandgas&amp;zoom=query&amp;querytype=oilandgas&amp;queryvalues=OG_324","OG_324_Map")</f>
        <v>OG_324_Map</v>
      </c>
      <c r="F327" s="1" t="s">
        <v>1752</v>
      </c>
      <c r="G327" s="1" t="s">
        <v>3668</v>
      </c>
      <c r="H327" s="1" t="s">
        <v>3669</v>
      </c>
      <c r="I327" s="1" t="s">
        <v>3841</v>
      </c>
      <c r="J327" s="17" t="s">
        <v>268</v>
      </c>
      <c r="K327" s="17" t="s">
        <v>412</v>
      </c>
      <c r="L327" s="17"/>
      <c r="M327" s="17"/>
      <c r="N327" s="52" t="s">
        <v>3193</v>
      </c>
      <c r="O327" s="17" t="s">
        <v>86</v>
      </c>
      <c r="P327" s="17" t="s">
        <v>86</v>
      </c>
      <c r="Q327" s="81" t="s">
        <v>3842</v>
      </c>
      <c r="R327" s="11">
        <v>26.533047</v>
      </c>
      <c r="S327" s="11">
        <v>-81.438723999999993</v>
      </c>
      <c r="T327" s="11" t="s">
        <v>3843</v>
      </c>
      <c r="U327" s="11" t="s">
        <v>3844</v>
      </c>
      <c r="V327" s="17" t="s">
        <v>3845</v>
      </c>
      <c r="W327" s="17" t="s">
        <v>110</v>
      </c>
      <c r="X327" s="70">
        <v>55</v>
      </c>
      <c r="Y327" s="70">
        <v>36</v>
      </c>
      <c r="Z327" s="13">
        <v>23775</v>
      </c>
      <c r="AA327" s="13">
        <v>23822</v>
      </c>
      <c r="AB327" s="13">
        <v>23861</v>
      </c>
      <c r="AC327" s="13">
        <v>33753</v>
      </c>
      <c r="AD327" s="86">
        <v>11472</v>
      </c>
      <c r="AE327" s="86">
        <v>11472</v>
      </c>
      <c r="AF327" s="70" t="s">
        <v>3846</v>
      </c>
      <c r="AG327" s="17" t="s">
        <v>3788</v>
      </c>
      <c r="AH327" s="17" t="s">
        <v>3847</v>
      </c>
      <c r="AI327" s="70" t="s">
        <v>3848</v>
      </c>
      <c r="AJ327" s="17" t="s">
        <v>3849</v>
      </c>
      <c r="AK327" s="17" t="s">
        <v>95</v>
      </c>
      <c r="AL327" s="17" t="s">
        <v>86</v>
      </c>
      <c r="AM327" s="17" t="s">
        <v>94</v>
      </c>
      <c r="AN327" s="17" t="s">
        <v>86</v>
      </c>
      <c r="AO327" s="17" t="s">
        <v>3850</v>
      </c>
      <c r="AP327" s="17" t="s">
        <v>3851</v>
      </c>
      <c r="AQ327" s="17" t="s">
        <v>3852</v>
      </c>
      <c r="AR327" s="17" t="s">
        <v>3853</v>
      </c>
      <c r="AS327" s="17" t="s">
        <v>3854</v>
      </c>
      <c r="AT327" s="17">
        <v>181</v>
      </c>
      <c r="AU327" s="30" t="s">
        <v>3855</v>
      </c>
      <c r="AV327" s="14">
        <v>7056</v>
      </c>
      <c r="AW327" s="74"/>
      <c r="AX327" s="1"/>
      <c r="AY327" s="17" t="s">
        <v>101</v>
      </c>
    </row>
    <row r="328" spans="1:51" ht="15" customHeight="1" x14ac:dyDescent="0.25">
      <c r="A328" s="5">
        <v>325</v>
      </c>
      <c r="B328" s="9">
        <v>325</v>
      </c>
      <c r="C328" s="9" t="s">
        <v>3856</v>
      </c>
      <c r="D328" s="57" t="str">
        <f>HYPERLINK("http://prodenv.dep.state.fl.us/DepNexus/public/electronic-documents/OG_325/facility!search","OG_325_Docs")</f>
        <v>OG_325_Docs</v>
      </c>
      <c r="E328" s="57" t="str">
        <f>HYPERLINK("https://ca.dep.state.fl.us/mapdirect/?focus=oilandgas&amp;zoom=query&amp;querytype=oilandgas&amp;queryvalues=OG_325","OG_325_Map")</f>
        <v>OG_325_Map</v>
      </c>
      <c r="F328" s="1" t="s">
        <v>1752</v>
      </c>
      <c r="G328" s="1" t="s">
        <v>3668</v>
      </c>
      <c r="H328" s="1" t="s">
        <v>3669</v>
      </c>
      <c r="I328" s="1" t="s">
        <v>3857</v>
      </c>
      <c r="J328" s="17" t="s">
        <v>82</v>
      </c>
      <c r="K328" s="17" t="s">
        <v>83</v>
      </c>
      <c r="L328" s="17"/>
      <c r="M328" s="17"/>
      <c r="N328" s="52" t="s">
        <v>3688</v>
      </c>
      <c r="O328" s="17" t="s">
        <v>86</v>
      </c>
      <c r="P328" s="17" t="s">
        <v>86</v>
      </c>
      <c r="Q328" s="81" t="s">
        <v>3858</v>
      </c>
      <c r="R328" s="11">
        <v>26.532537000000001</v>
      </c>
      <c r="S328" s="11">
        <v>-81.413854999999998</v>
      </c>
      <c r="T328" s="11" t="s">
        <v>3859</v>
      </c>
      <c r="U328" s="11" t="s">
        <v>3860</v>
      </c>
      <c r="V328" s="17" t="s">
        <v>3861</v>
      </c>
      <c r="W328" s="17" t="s">
        <v>110</v>
      </c>
      <c r="X328" s="70">
        <v>52.35</v>
      </c>
      <c r="Y328" s="70">
        <v>33.9</v>
      </c>
      <c r="Z328" s="13">
        <v>23790</v>
      </c>
      <c r="AA328" s="13">
        <v>23783</v>
      </c>
      <c r="AB328" s="13">
        <v>23820</v>
      </c>
      <c r="AC328" s="13">
        <v>26339</v>
      </c>
      <c r="AD328" s="86">
        <v>11575</v>
      </c>
      <c r="AE328" s="86">
        <v>11575</v>
      </c>
      <c r="AF328" s="70" t="s">
        <v>3862</v>
      </c>
      <c r="AG328" s="17" t="s">
        <v>3863</v>
      </c>
      <c r="AH328" s="17" t="s">
        <v>3847</v>
      </c>
      <c r="AI328" s="70" t="s">
        <v>94</v>
      </c>
      <c r="AJ328" s="36" t="s">
        <v>94</v>
      </c>
      <c r="AK328" s="17" t="s">
        <v>95</v>
      </c>
      <c r="AL328" s="17" t="s">
        <v>86</v>
      </c>
      <c r="AM328" s="17" t="s">
        <v>825</v>
      </c>
      <c r="AN328" s="17" t="s">
        <v>3864</v>
      </c>
      <c r="AO328" s="17" t="s">
        <v>98</v>
      </c>
      <c r="AP328" s="17" t="s">
        <v>98</v>
      </c>
      <c r="AQ328" s="17" t="s">
        <v>98</v>
      </c>
      <c r="AR328" s="17" t="s">
        <v>94</v>
      </c>
      <c r="AS328" s="17" t="s">
        <v>3865</v>
      </c>
      <c r="AT328" s="17"/>
      <c r="AU328" s="30" t="s">
        <v>3866</v>
      </c>
      <c r="AV328" s="14">
        <v>7178</v>
      </c>
      <c r="AW328" s="74"/>
      <c r="AX328" s="1"/>
      <c r="AY328" s="17" t="s">
        <v>101</v>
      </c>
    </row>
    <row r="329" spans="1:51" ht="12.75" customHeight="1" x14ac:dyDescent="0.25">
      <c r="A329" s="5">
        <v>326</v>
      </c>
      <c r="B329" s="9">
        <v>326</v>
      </c>
      <c r="C329" s="9" t="s">
        <v>3867</v>
      </c>
      <c r="D329" s="57" t="str">
        <f>HYPERLINK("http://prodenv.dep.state.fl.us/DepNexus/public/electronic-documents/OG_326/facility!search","OG_326_Docs")</f>
        <v>OG_326_Docs</v>
      </c>
      <c r="E329" s="57" t="str">
        <f>HYPERLINK("https://ca.dep.state.fl.us/mapdirect/?focus=oilandgas&amp;zoom=query&amp;querytype=oilandgas&amp;queryvalues=OG_326","OG_326_Map")</f>
        <v>OG_326_Map</v>
      </c>
      <c r="F329" s="1" t="s">
        <v>1752</v>
      </c>
      <c r="G329" s="1" t="s">
        <v>3668</v>
      </c>
      <c r="H329" s="1" t="s">
        <v>3669</v>
      </c>
      <c r="I329" s="1" t="s">
        <v>3868</v>
      </c>
      <c r="J329" s="17" t="s">
        <v>268</v>
      </c>
      <c r="K329" s="17" t="s">
        <v>412</v>
      </c>
      <c r="L329" s="17"/>
      <c r="M329" s="17" t="s">
        <v>101</v>
      </c>
      <c r="N329" s="52" t="s">
        <v>3869</v>
      </c>
      <c r="O329" s="17" t="s">
        <v>86</v>
      </c>
      <c r="P329" s="17" t="s">
        <v>86</v>
      </c>
      <c r="Q329" s="81" t="s">
        <v>3870</v>
      </c>
      <c r="R329" s="11">
        <v>26.532308</v>
      </c>
      <c r="S329" s="11">
        <v>-81.430400000000006</v>
      </c>
      <c r="T329" s="11" t="s">
        <v>3871</v>
      </c>
      <c r="U329" s="11" t="s">
        <v>3872</v>
      </c>
      <c r="V329" s="17" t="s">
        <v>3873</v>
      </c>
      <c r="W329" s="17" t="s">
        <v>110</v>
      </c>
      <c r="X329" s="70">
        <v>52</v>
      </c>
      <c r="Y329" s="70">
        <v>35</v>
      </c>
      <c r="Z329" s="13">
        <v>23790</v>
      </c>
      <c r="AA329" s="13">
        <v>23799</v>
      </c>
      <c r="AB329" s="13">
        <v>23838</v>
      </c>
      <c r="AC329" s="13">
        <v>33644</v>
      </c>
      <c r="AD329" s="86">
        <v>11612</v>
      </c>
      <c r="AE329" s="86">
        <v>11612</v>
      </c>
      <c r="AF329" s="70" t="s">
        <v>3874</v>
      </c>
      <c r="AG329" s="17" t="s">
        <v>3875</v>
      </c>
      <c r="AH329" s="17" t="s">
        <v>3847</v>
      </c>
      <c r="AI329" s="70" t="s">
        <v>3876</v>
      </c>
      <c r="AJ329" s="36" t="s">
        <v>94</v>
      </c>
      <c r="AK329" s="17" t="s">
        <v>95</v>
      </c>
      <c r="AL329" s="17" t="s">
        <v>3877</v>
      </c>
      <c r="AM329" s="17" t="s">
        <v>825</v>
      </c>
      <c r="AN329" s="17" t="s">
        <v>86</v>
      </c>
      <c r="AO329" s="17" t="s">
        <v>3878</v>
      </c>
      <c r="AP329" s="17" t="s">
        <v>3879</v>
      </c>
      <c r="AQ329" s="17" t="s">
        <v>3880</v>
      </c>
      <c r="AR329" s="17" t="s">
        <v>3881</v>
      </c>
      <c r="AS329" s="17" t="s">
        <v>3882</v>
      </c>
      <c r="AT329" s="17">
        <v>184</v>
      </c>
      <c r="AU329" s="30" t="s">
        <v>3883</v>
      </c>
      <c r="AV329" s="14">
        <v>7046</v>
      </c>
      <c r="AW329" s="74"/>
      <c r="AX329" s="1"/>
      <c r="AY329" s="17" t="s">
        <v>101</v>
      </c>
    </row>
    <row r="330" spans="1:51" ht="15" customHeight="1" x14ac:dyDescent="0.25">
      <c r="A330" s="5">
        <v>327</v>
      </c>
      <c r="B330" s="9">
        <v>327</v>
      </c>
      <c r="C330" s="9" t="s">
        <v>3884</v>
      </c>
      <c r="D330" s="57" t="str">
        <f>HYPERLINK("http://prodenv.dep.state.fl.us/DepNexus/public/electronic-documents/OG_327/facility!search","OG_327_Docs")</f>
        <v>OG_327_Docs</v>
      </c>
      <c r="E330" s="57" t="str">
        <f>HYPERLINK("https://ca.dep.state.fl.us/mapdirect/?focus=oilandgas&amp;zoom=query&amp;querytype=oilandgas&amp;queryvalues=OG_327","OG_327_Map")</f>
        <v>OG_327_Map</v>
      </c>
      <c r="F330" s="1" t="s">
        <v>1752</v>
      </c>
      <c r="G330" s="1" t="s">
        <v>3668</v>
      </c>
      <c r="H330" s="1" t="s">
        <v>3669</v>
      </c>
      <c r="I330" s="1" t="s">
        <v>3885</v>
      </c>
      <c r="J330" s="17" t="s">
        <v>268</v>
      </c>
      <c r="K330" s="17" t="s">
        <v>412</v>
      </c>
      <c r="L330" s="17"/>
      <c r="M330" s="17"/>
      <c r="N330" s="52" t="s">
        <v>3886</v>
      </c>
      <c r="O330" s="17" t="s">
        <v>86</v>
      </c>
      <c r="P330" s="17" t="s">
        <v>86</v>
      </c>
      <c r="Q330" s="81" t="s">
        <v>3887</v>
      </c>
      <c r="R330" s="11">
        <v>26.52045</v>
      </c>
      <c r="S330" s="11">
        <v>-81.437156000000002</v>
      </c>
      <c r="T330" s="11" t="s">
        <v>3888</v>
      </c>
      <c r="U330" s="11" t="s">
        <v>3889</v>
      </c>
      <c r="V330" s="17" t="s">
        <v>3890</v>
      </c>
      <c r="W330" s="17" t="s">
        <v>110</v>
      </c>
      <c r="X330" s="70">
        <v>52</v>
      </c>
      <c r="Y330" s="70">
        <v>34.799999999999997</v>
      </c>
      <c r="Z330" s="13">
        <v>23785</v>
      </c>
      <c r="AA330" s="13">
        <v>23951</v>
      </c>
      <c r="AB330" s="13">
        <v>23990</v>
      </c>
      <c r="AC330" s="13">
        <v>33746</v>
      </c>
      <c r="AD330" s="86">
        <v>11471</v>
      </c>
      <c r="AE330" s="86">
        <v>11471</v>
      </c>
      <c r="AF330" s="70" t="s">
        <v>1031</v>
      </c>
      <c r="AG330" s="17" t="s">
        <v>3891</v>
      </c>
      <c r="AH330" s="17" t="s">
        <v>3892</v>
      </c>
      <c r="AI330" s="70" t="s">
        <v>3893</v>
      </c>
      <c r="AJ330" s="17" t="s">
        <v>3894</v>
      </c>
      <c r="AK330" s="17" t="s">
        <v>94</v>
      </c>
      <c r="AL330" s="17" t="s">
        <v>94</v>
      </c>
      <c r="AM330" s="17" t="s">
        <v>94</v>
      </c>
      <c r="AN330" s="17" t="s">
        <v>3895</v>
      </c>
      <c r="AO330" s="17" t="s">
        <v>3896</v>
      </c>
      <c r="AP330" s="17" t="s">
        <v>3897</v>
      </c>
      <c r="AQ330" s="17" t="s">
        <v>3898</v>
      </c>
      <c r="AR330" s="17" t="s">
        <v>3899</v>
      </c>
      <c r="AS330" s="17" t="s">
        <v>3900</v>
      </c>
      <c r="AT330" s="17"/>
      <c r="AU330" s="30" t="s">
        <v>3901</v>
      </c>
      <c r="AV330" s="14" t="s">
        <v>94</v>
      </c>
      <c r="AW330" s="74"/>
      <c r="AX330" s="1"/>
      <c r="AY330" s="17" t="s">
        <v>101</v>
      </c>
    </row>
    <row r="331" spans="1:51" ht="15" customHeight="1" x14ac:dyDescent="0.25">
      <c r="A331" s="5">
        <v>328</v>
      </c>
      <c r="B331" s="9">
        <v>328</v>
      </c>
      <c r="C331" s="9" t="s">
        <v>3902</v>
      </c>
      <c r="D331" s="57" t="str">
        <f>HYPERLINK("http://prodenv.dep.state.fl.us/DepNexus/public/electronic-documents/OG_328/facility!search","OG_328_Docs")</f>
        <v>OG_328_Docs</v>
      </c>
      <c r="E331" s="57" t="str">
        <f>HYPERLINK("https://ca.dep.state.fl.us/mapdirect/?focus=oilandgas&amp;zoom=query&amp;querytype=oilandgas&amp;queryvalues=OG_328","OG_328_Map")</f>
        <v>OG_328_Map</v>
      </c>
      <c r="F331" s="1" t="s">
        <v>1752</v>
      </c>
      <c r="G331" s="1" t="s">
        <v>3668</v>
      </c>
      <c r="H331" s="1" t="s">
        <v>3669</v>
      </c>
      <c r="I331" s="1" t="s">
        <v>3903</v>
      </c>
      <c r="J331" s="17" t="s">
        <v>268</v>
      </c>
      <c r="K331" s="17" t="s">
        <v>412</v>
      </c>
      <c r="L331" s="17"/>
      <c r="M331" s="17"/>
      <c r="N331" s="52" t="s">
        <v>3826</v>
      </c>
      <c r="O331" s="17" t="s">
        <v>86</v>
      </c>
      <c r="P331" s="17" t="s">
        <v>86</v>
      </c>
      <c r="Q331" s="81" t="s">
        <v>3904</v>
      </c>
      <c r="R331" s="11">
        <v>26.520432</v>
      </c>
      <c r="S331" s="11">
        <v>-81.429534000000004</v>
      </c>
      <c r="T331" s="11" t="s">
        <v>3905</v>
      </c>
      <c r="U331" s="11" t="s">
        <v>3906</v>
      </c>
      <c r="V331" s="17" t="s">
        <v>3907</v>
      </c>
      <c r="W331" s="17" t="s">
        <v>110</v>
      </c>
      <c r="X331" s="70">
        <v>54</v>
      </c>
      <c r="Y331" s="70">
        <v>37.5</v>
      </c>
      <c r="Z331" s="13">
        <v>23845</v>
      </c>
      <c r="AA331" s="13">
        <v>23921</v>
      </c>
      <c r="AB331" s="13">
        <v>23961</v>
      </c>
      <c r="AC331" s="13">
        <v>33525</v>
      </c>
      <c r="AD331" s="86">
        <v>11487</v>
      </c>
      <c r="AE331" s="86">
        <v>11487</v>
      </c>
      <c r="AF331" s="70" t="s">
        <v>2069</v>
      </c>
      <c r="AG331" s="17" t="s">
        <v>3908</v>
      </c>
      <c r="AH331" s="17" t="s">
        <v>3909</v>
      </c>
      <c r="AI331" s="70" t="s">
        <v>3910</v>
      </c>
      <c r="AJ331" s="17" t="s">
        <v>3911</v>
      </c>
      <c r="AK331" s="17" t="s">
        <v>825</v>
      </c>
      <c r="AL331" s="17" t="s">
        <v>3912</v>
      </c>
      <c r="AM331" s="17" t="s">
        <v>825</v>
      </c>
      <c r="AN331" s="17" t="s">
        <v>94</v>
      </c>
      <c r="AO331" s="17" t="s">
        <v>3913</v>
      </c>
      <c r="AP331" s="17" t="s">
        <v>1093</v>
      </c>
      <c r="AQ331" s="17" t="s">
        <v>3914</v>
      </c>
      <c r="AR331" s="17" t="s">
        <v>3915</v>
      </c>
      <c r="AS331" s="17" t="s">
        <v>3916</v>
      </c>
      <c r="AT331" s="17"/>
      <c r="AU331" s="30" t="s">
        <v>3917</v>
      </c>
      <c r="AV331" s="14" t="s">
        <v>94</v>
      </c>
      <c r="AW331" s="74"/>
      <c r="AX331" s="1"/>
      <c r="AY331" s="17" t="s">
        <v>101</v>
      </c>
    </row>
    <row r="332" spans="1:51" ht="15" customHeight="1" x14ac:dyDescent="0.25">
      <c r="A332" s="5">
        <v>329</v>
      </c>
      <c r="B332" s="9">
        <v>329</v>
      </c>
      <c r="C332" s="9" t="s">
        <v>3918</v>
      </c>
      <c r="D332" s="57" t="str">
        <f>HYPERLINK("http://prodenv.dep.state.fl.us/DepNexus/public/electronic-documents/OG_329/facility!search","OG_329_Docs")</f>
        <v>OG_329_Docs</v>
      </c>
      <c r="E332" s="57" t="str">
        <f>HYPERLINK("https://ca.dep.state.fl.us/mapdirect/?focus=oilandgas&amp;zoom=query&amp;querytype=oilandgas&amp;queryvalues=OG_329","OG_329_Map")</f>
        <v>OG_329_Map</v>
      </c>
      <c r="F332" s="1" t="s">
        <v>1752</v>
      </c>
      <c r="G332" s="1" t="s">
        <v>3668</v>
      </c>
      <c r="H332" s="1" t="s">
        <v>3669</v>
      </c>
      <c r="I332" s="1" t="s">
        <v>3919</v>
      </c>
      <c r="J332" s="17" t="s">
        <v>268</v>
      </c>
      <c r="K332" s="17" t="s">
        <v>412</v>
      </c>
      <c r="L332" s="17"/>
      <c r="M332" s="17"/>
      <c r="N332" s="52" t="s">
        <v>3688</v>
      </c>
      <c r="O332" s="17" t="s">
        <v>86</v>
      </c>
      <c r="P332" s="17" t="s">
        <v>86</v>
      </c>
      <c r="Q332" s="81" t="s">
        <v>3920</v>
      </c>
      <c r="R332" s="11">
        <v>26.546937</v>
      </c>
      <c r="S332" s="11">
        <v>-81.454966999999996</v>
      </c>
      <c r="T332" s="11" t="s">
        <v>3921</v>
      </c>
      <c r="U332" s="11" t="s">
        <v>3922</v>
      </c>
      <c r="V332" s="17" t="s">
        <v>3923</v>
      </c>
      <c r="W332" s="17" t="s">
        <v>110</v>
      </c>
      <c r="X332" s="70">
        <v>51.65</v>
      </c>
      <c r="Y332" s="70">
        <v>34.200000000000003</v>
      </c>
      <c r="Z332" s="13">
        <v>23812</v>
      </c>
      <c r="AA332" s="13">
        <v>24022</v>
      </c>
      <c r="AB332" s="13">
        <v>24111</v>
      </c>
      <c r="AC332" s="13">
        <v>31038</v>
      </c>
      <c r="AD332" s="86">
        <v>11549</v>
      </c>
      <c r="AE332" s="86">
        <v>11549</v>
      </c>
      <c r="AF332" s="70" t="s">
        <v>2110</v>
      </c>
      <c r="AG332" s="17" t="s">
        <v>3924</v>
      </c>
      <c r="AH332" s="17" t="s">
        <v>3925</v>
      </c>
      <c r="AI332" s="70" t="s">
        <v>3926</v>
      </c>
      <c r="AJ332" s="17" t="s">
        <v>3927</v>
      </c>
      <c r="AK332" s="17" t="s">
        <v>825</v>
      </c>
      <c r="AL332" s="17" t="s">
        <v>86</v>
      </c>
      <c r="AM332" s="17" t="s">
        <v>825</v>
      </c>
      <c r="AN332" s="17" t="s">
        <v>3928</v>
      </c>
      <c r="AO332" s="17" t="s">
        <v>3929</v>
      </c>
      <c r="AP332" s="17" t="s">
        <v>3930</v>
      </c>
      <c r="AQ332" s="17" t="s">
        <v>3931</v>
      </c>
      <c r="AR332" s="17" t="s">
        <v>3932</v>
      </c>
      <c r="AS332" s="17" t="s">
        <v>3933</v>
      </c>
      <c r="AT332" s="17"/>
      <c r="AU332" s="30" t="s">
        <v>3934</v>
      </c>
      <c r="AV332" s="14" t="s">
        <v>94</v>
      </c>
      <c r="AW332" s="74"/>
      <c r="AX332" s="1"/>
      <c r="AY332" s="17" t="s">
        <v>101</v>
      </c>
    </row>
    <row r="333" spans="1:51" ht="15" customHeight="1" x14ac:dyDescent="0.25">
      <c r="A333" s="5">
        <v>330</v>
      </c>
      <c r="B333" s="9">
        <v>330</v>
      </c>
      <c r="C333" s="9" t="s">
        <v>3935</v>
      </c>
      <c r="D333" s="57" t="str">
        <f>HYPERLINK("http://prodenv.dep.state.fl.us/DepNexus/public/electronic-documents/OG_330/facility!search","OG_330_Docs")</f>
        <v>OG_330_Docs</v>
      </c>
      <c r="E333" s="57" t="str">
        <f>HYPERLINK("https://ca.dep.state.fl.us/mapdirect/?focus=oilandgas&amp;zoom=query&amp;querytype=oilandgas&amp;queryvalues=OG_330","OG_330_Map")</f>
        <v>OG_330_Map</v>
      </c>
      <c r="F333" s="1" t="s">
        <v>1752</v>
      </c>
      <c r="G333" s="1" t="s">
        <v>3668</v>
      </c>
      <c r="H333" s="1" t="s">
        <v>3669</v>
      </c>
      <c r="I333" s="1" t="s">
        <v>3936</v>
      </c>
      <c r="J333" s="17" t="s">
        <v>268</v>
      </c>
      <c r="K333" s="17" t="s">
        <v>3937</v>
      </c>
      <c r="L333" s="17"/>
      <c r="M333" s="17"/>
      <c r="N333" s="52" t="s">
        <v>3626</v>
      </c>
      <c r="O333" s="17" t="s">
        <v>86</v>
      </c>
      <c r="P333" s="17" t="s">
        <v>86</v>
      </c>
      <c r="Q333" s="81" t="s">
        <v>3938</v>
      </c>
      <c r="R333" s="11">
        <v>26.519067</v>
      </c>
      <c r="S333" s="11">
        <v>-81.423064999999994</v>
      </c>
      <c r="T333" s="11" t="s">
        <v>3939</v>
      </c>
      <c r="U333" s="11" t="s">
        <v>3940</v>
      </c>
      <c r="V333" s="17" t="s">
        <v>3941</v>
      </c>
      <c r="W333" s="17" t="s">
        <v>110</v>
      </c>
      <c r="X333" s="70">
        <v>52.6</v>
      </c>
      <c r="Y333" s="70">
        <v>34.9</v>
      </c>
      <c r="Z333" s="13">
        <v>23812</v>
      </c>
      <c r="AA333" s="13">
        <v>23826</v>
      </c>
      <c r="AB333" s="13">
        <v>23862</v>
      </c>
      <c r="AC333" s="13">
        <v>30956</v>
      </c>
      <c r="AD333" s="86">
        <v>11490</v>
      </c>
      <c r="AE333" s="86">
        <v>11490</v>
      </c>
      <c r="AF333" s="70" t="s">
        <v>3942</v>
      </c>
      <c r="AG333" s="17" t="s">
        <v>3943</v>
      </c>
      <c r="AH333" s="17" t="s">
        <v>3944</v>
      </c>
      <c r="AI333" s="70" t="s">
        <v>3945</v>
      </c>
      <c r="AJ333" s="17" t="s">
        <v>3946</v>
      </c>
      <c r="AK333" s="17" t="s">
        <v>95</v>
      </c>
      <c r="AL333" s="17" t="s">
        <v>86</v>
      </c>
      <c r="AM333" s="17" t="s">
        <v>95</v>
      </c>
      <c r="AN333" s="17" t="s">
        <v>86</v>
      </c>
      <c r="AO333" s="17" t="s">
        <v>3947</v>
      </c>
      <c r="AP333" s="17" t="s">
        <v>3948</v>
      </c>
      <c r="AQ333" s="17" t="s">
        <v>3949</v>
      </c>
      <c r="AR333" s="17" t="s">
        <v>3950</v>
      </c>
      <c r="AS333" s="17" t="s">
        <v>3951</v>
      </c>
      <c r="AT333" s="17"/>
      <c r="AU333" s="30" t="s">
        <v>3952</v>
      </c>
      <c r="AV333" s="14">
        <v>7105</v>
      </c>
      <c r="AW333" s="74"/>
      <c r="AX333" s="1"/>
      <c r="AY333" s="17" t="s">
        <v>101</v>
      </c>
    </row>
    <row r="334" spans="1:51" ht="15" customHeight="1" x14ac:dyDescent="0.25">
      <c r="A334" s="5">
        <v>331</v>
      </c>
      <c r="B334" s="9">
        <v>331</v>
      </c>
      <c r="C334" s="9" t="s">
        <v>3953</v>
      </c>
      <c r="D334" s="57" t="str">
        <f>HYPERLINK("http://prodenv.dep.state.fl.us/DepNexus/public/electronic-documents/OG_331/facility!search","OG_331_Docs")</f>
        <v>OG_331_Docs</v>
      </c>
      <c r="E334" s="57" t="str">
        <f>HYPERLINK("https://ca.dep.state.fl.us/mapdirect/?focus=oilandgas&amp;zoom=query&amp;querytype=oilandgas&amp;queryvalues=OG_331","OG_331_Map")</f>
        <v>OG_331_Map</v>
      </c>
      <c r="F334" s="1" t="s">
        <v>204</v>
      </c>
      <c r="G334" s="1" t="s">
        <v>2103</v>
      </c>
      <c r="H334" s="1" t="s">
        <v>3954</v>
      </c>
      <c r="I334" s="1" t="s">
        <v>3955</v>
      </c>
      <c r="J334" s="17" t="s">
        <v>82</v>
      </c>
      <c r="K334" s="17" t="s">
        <v>83</v>
      </c>
      <c r="L334" s="17" t="s">
        <v>101</v>
      </c>
      <c r="M334" s="17" t="s">
        <v>101</v>
      </c>
      <c r="N334" s="52" t="s">
        <v>3956</v>
      </c>
      <c r="O334" s="17" t="s">
        <v>86</v>
      </c>
      <c r="P334" s="17" t="s">
        <v>2547</v>
      </c>
      <c r="Q334" s="81" t="s">
        <v>3957</v>
      </c>
      <c r="R334" s="11">
        <v>25.767491</v>
      </c>
      <c r="S334" s="11">
        <v>-80.824190000000002</v>
      </c>
      <c r="T334" s="11" t="s">
        <v>3958</v>
      </c>
      <c r="U334" s="11" t="s">
        <v>3959</v>
      </c>
      <c r="V334" s="17" t="s">
        <v>3960</v>
      </c>
      <c r="W334" s="17" t="s">
        <v>110</v>
      </c>
      <c r="X334" s="70">
        <v>21</v>
      </c>
      <c r="Y334" s="70"/>
      <c r="Z334" s="13">
        <v>23812</v>
      </c>
      <c r="AA334" s="13">
        <v>23923</v>
      </c>
      <c r="AB334" s="13">
        <v>23960</v>
      </c>
      <c r="AC334" s="13">
        <v>23960</v>
      </c>
      <c r="AD334" s="86">
        <v>11615</v>
      </c>
      <c r="AE334" s="86">
        <v>11615</v>
      </c>
      <c r="AF334" s="70" t="s">
        <v>3961</v>
      </c>
      <c r="AG334" s="17" t="s">
        <v>3962</v>
      </c>
      <c r="AH334" s="17" t="s">
        <v>3963</v>
      </c>
      <c r="AI334" s="70" t="s">
        <v>94</v>
      </c>
      <c r="AJ334" s="17" t="s">
        <v>94</v>
      </c>
      <c r="AK334" s="17" t="s">
        <v>95</v>
      </c>
      <c r="AL334" s="17" t="s">
        <v>3964</v>
      </c>
      <c r="AM334" s="17" t="s">
        <v>95</v>
      </c>
      <c r="AN334" s="17" t="s">
        <v>3965</v>
      </c>
      <c r="AO334" s="17" t="s">
        <v>98</v>
      </c>
      <c r="AP334" s="17" t="s">
        <v>98</v>
      </c>
      <c r="AQ334" s="17" t="s">
        <v>98</v>
      </c>
      <c r="AR334" s="17" t="s">
        <v>94</v>
      </c>
      <c r="AS334" s="17" t="s">
        <v>3966</v>
      </c>
      <c r="AT334" s="17">
        <v>172</v>
      </c>
      <c r="AU334" s="30" t="s">
        <v>3967</v>
      </c>
      <c r="AV334" s="14">
        <v>7336</v>
      </c>
      <c r="AW334" s="74"/>
      <c r="AX334" s="1" t="s">
        <v>3968</v>
      </c>
      <c r="AY334" s="17" t="s">
        <v>101</v>
      </c>
    </row>
    <row r="335" spans="1:51" ht="12.75" customHeight="1" x14ac:dyDescent="0.25">
      <c r="A335" s="5">
        <v>332</v>
      </c>
      <c r="B335" s="9">
        <v>332</v>
      </c>
      <c r="C335" s="9" t="s">
        <v>3969</v>
      </c>
      <c r="D335" s="57" t="str">
        <f>HYPERLINK("http://prodenv.dep.state.fl.us/DepNexus/public/electronic-documents/OG_332/facility!search","OG_332_Docs")</f>
        <v>OG_332_Docs</v>
      </c>
      <c r="E335" s="57" t="str">
        <f>HYPERLINK("https://ca.dep.state.fl.us/mapdirect/?focus=oilandgas&amp;zoom=query&amp;querytype=oilandgas&amp;queryvalues=OG_332","OG_332_Map")</f>
        <v>OG_332_Map</v>
      </c>
      <c r="F335" s="1" t="s">
        <v>1752</v>
      </c>
      <c r="G335" s="1" t="s">
        <v>3668</v>
      </c>
      <c r="H335" s="1" t="s">
        <v>3669</v>
      </c>
      <c r="I335" s="1" t="s">
        <v>3970</v>
      </c>
      <c r="J335" s="17" t="s">
        <v>268</v>
      </c>
      <c r="K335" s="17" t="s">
        <v>412</v>
      </c>
      <c r="L335" s="17"/>
      <c r="M335" s="17"/>
      <c r="N335" s="52" t="s">
        <v>3193</v>
      </c>
      <c r="O335" s="17" t="s">
        <v>86</v>
      </c>
      <c r="P335" s="17" t="s">
        <v>86</v>
      </c>
      <c r="Q335" s="81" t="s">
        <v>3971</v>
      </c>
      <c r="R335" s="11">
        <v>26.590071999999999</v>
      </c>
      <c r="S335" s="11">
        <v>-81.438553999999996</v>
      </c>
      <c r="T335" s="11" t="s">
        <v>3972</v>
      </c>
      <c r="U335" s="11" t="s">
        <v>3973</v>
      </c>
      <c r="V335" s="17" t="s">
        <v>3974</v>
      </c>
      <c r="W335" s="17" t="s">
        <v>110</v>
      </c>
      <c r="X335" s="70">
        <v>56</v>
      </c>
      <c r="Y335" s="70">
        <v>37</v>
      </c>
      <c r="Z335" s="13">
        <v>23839</v>
      </c>
      <c r="AA335" s="13">
        <v>23860</v>
      </c>
      <c r="AB335" s="13">
        <v>23898</v>
      </c>
      <c r="AC335" s="13">
        <v>33136</v>
      </c>
      <c r="AD335" s="86">
        <v>11474</v>
      </c>
      <c r="AE335" s="86">
        <v>11474</v>
      </c>
      <c r="AF335" s="70" t="s">
        <v>3975</v>
      </c>
      <c r="AG335" s="17" t="s">
        <v>3976</v>
      </c>
      <c r="AH335" s="17" t="s">
        <v>3977</v>
      </c>
      <c r="AI335" s="70" t="s">
        <v>3978</v>
      </c>
      <c r="AJ335" s="17" t="s">
        <v>3979</v>
      </c>
      <c r="AK335" s="17" t="s">
        <v>95</v>
      </c>
      <c r="AL335" s="17" t="s">
        <v>86</v>
      </c>
      <c r="AM335" s="17" t="s">
        <v>94</v>
      </c>
      <c r="AN335" s="17" t="s">
        <v>86</v>
      </c>
      <c r="AO335" s="17" t="s">
        <v>3980</v>
      </c>
      <c r="AP335" s="17" t="s">
        <v>3981</v>
      </c>
      <c r="AQ335" s="17" t="s">
        <v>3982</v>
      </c>
      <c r="AR335" s="17" t="s">
        <v>3983</v>
      </c>
      <c r="AS335" s="17" t="s">
        <v>3984</v>
      </c>
      <c r="AT335" s="17"/>
      <c r="AU335" s="30" t="s">
        <v>3985</v>
      </c>
      <c r="AV335" s="14">
        <v>7109</v>
      </c>
      <c r="AW335" s="74"/>
      <c r="AX335" s="1"/>
      <c r="AY335" s="17" t="s">
        <v>101</v>
      </c>
    </row>
    <row r="336" spans="1:51" ht="15" customHeight="1" x14ac:dyDescent="0.25">
      <c r="A336" s="5">
        <v>333</v>
      </c>
      <c r="B336" s="9">
        <v>333</v>
      </c>
      <c r="C336" s="9" t="s">
        <v>3986</v>
      </c>
      <c r="D336" s="57" t="str">
        <f>HYPERLINK("http://prodenv.dep.state.fl.us/DepNexus/public/electronic-documents/OG_333/facility!search","OG_333_Docs")</f>
        <v>OG_333_Docs</v>
      </c>
      <c r="E336" s="57" t="str">
        <f>HYPERLINK("https://ca.dep.state.fl.us/mapdirect/?focus=oilandgas&amp;zoom=query&amp;querytype=oilandgas&amp;queryvalues=OG_333","OG_333_Map")</f>
        <v>OG_333_Map</v>
      </c>
      <c r="F336" s="1" t="s">
        <v>1752</v>
      </c>
      <c r="G336" s="1" t="s">
        <v>3668</v>
      </c>
      <c r="H336" s="1" t="s">
        <v>3669</v>
      </c>
      <c r="I336" s="1" t="s">
        <v>3987</v>
      </c>
      <c r="J336" s="17" t="s">
        <v>268</v>
      </c>
      <c r="K336" s="17" t="s">
        <v>412</v>
      </c>
      <c r="L336" s="17"/>
      <c r="M336" s="17"/>
      <c r="N336" s="52" t="s">
        <v>3193</v>
      </c>
      <c r="O336" s="17" t="s">
        <v>86</v>
      </c>
      <c r="P336" s="17" t="s">
        <v>86</v>
      </c>
      <c r="Q336" s="81" t="s">
        <v>3988</v>
      </c>
      <c r="R336" s="11">
        <v>26.533131000000001</v>
      </c>
      <c r="S336" s="11">
        <v>-81.446911999999998</v>
      </c>
      <c r="T336" s="11" t="s">
        <v>3989</v>
      </c>
      <c r="U336" s="11" t="s">
        <v>3990</v>
      </c>
      <c r="V336" s="17" t="s">
        <v>3991</v>
      </c>
      <c r="W336" s="17" t="s">
        <v>110</v>
      </c>
      <c r="X336" s="70">
        <v>55.7</v>
      </c>
      <c r="Y336" s="70">
        <v>36</v>
      </c>
      <c r="Z336" s="13">
        <v>23839</v>
      </c>
      <c r="AA336" s="13">
        <v>23852</v>
      </c>
      <c r="AB336" s="13">
        <v>23887</v>
      </c>
      <c r="AC336" s="13">
        <v>33724</v>
      </c>
      <c r="AD336" s="86">
        <v>11489</v>
      </c>
      <c r="AE336" s="86">
        <v>11489</v>
      </c>
      <c r="AF336" s="70" t="s">
        <v>3992</v>
      </c>
      <c r="AG336" s="17" t="s">
        <v>3993</v>
      </c>
      <c r="AH336" s="17" t="s">
        <v>3994</v>
      </c>
      <c r="AI336" s="70" t="s">
        <v>3995</v>
      </c>
      <c r="AJ336" s="17" t="s">
        <v>3996</v>
      </c>
      <c r="AK336" s="17" t="s">
        <v>95</v>
      </c>
      <c r="AL336" s="17" t="s">
        <v>86</v>
      </c>
      <c r="AM336" s="17" t="s">
        <v>94</v>
      </c>
      <c r="AN336" s="17" t="s">
        <v>86</v>
      </c>
      <c r="AO336" s="17" t="s">
        <v>3997</v>
      </c>
      <c r="AP336" s="17" t="s">
        <v>3998</v>
      </c>
      <c r="AQ336" s="17" t="s">
        <v>3999</v>
      </c>
      <c r="AR336" s="17" t="s">
        <v>4000</v>
      </c>
      <c r="AS336" s="17" t="s">
        <v>4001</v>
      </c>
      <c r="AT336" s="17"/>
      <c r="AU336" s="30" t="s">
        <v>4002</v>
      </c>
      <c r="AV336" s="14">
        <v>7106</v>
      </c>
      <c r="AW336" s="74"/>
      <c r="AX336" s="1"/>
      <c r="AY336" s="17" t="s">
        <v>101</v>
      </c>
    </row>
    <row r="337" spans="1:51" ht="15" customHeight="1" x14ac:dyDescent="0.25">
      <c r="A337" s="5">
        <v>334</v>
      </c>
      <c r="B337" s="9">
        <v>334</v>
      </c>
      <c r="C337" s="9" t="s">
        <v>4003</v>
      </c>
      <c r="D337" s="57" t="str">
        <f>HYPERLINK("http://prodenv.dep.state.fl.us/DepNexus/public/electronic-documents/OG_334/facility!search","OG_334_Docs")</f>
        <v>OG_334_Docs</v>
      </c>
      <c r="E337" s="57" t="str">
        <f>HYPERLINK("https://ca.dep.state.fl.us/mapdirect/?focus=oilandgas&amp;zoom=query&amp;querytype=oilandgas&amp;queryvalues=OG_334","OG_334_Map")</f>
        <v>OG_334_Map</v>
      </c>
      <c r="F337" s="1" t="s">
        <v>1752</v>
      </c>
      <c r="G337" s="1" t="s">
        <v>3668</v>
      </c>
      <c r="H337" s="1" t="s">
        <v>3669</v>
      </c>
      <c r="I337" s="1" t="s">
        <v>4004</v>
      </c>
      <c r="J337" s="17" t="s">
        <v>268</v>
      </c>
      <c r="K337" s="17" t="s">
        <v>412</v>
      </c>
      <c r="L337" s="17"/>
      <c r="M337" s="17"/>
      <c r="N337" s="52" t="s">
        <v>3826</v>
      </c>
      <c r="O337" s="17" t="s">
        <v>86</v>
      </c>
      <c r="P337" s="17" t="s">
        <v>86</v>
      </c>
      <c r="Q337" s="81" t="s">
        <v>4005</v>
      </c>
      <c r="R337" s="11">
        <v>26.539266999999999</v>
      </c>
      <c r="S337" s="11">
        <v>-81.446324000000004</v>
      </c>
      <c r="T337" s="11" t="s">
        <v>4006</v>
      </c>
      <c r="U337" s="11" t="s">
        <v>4007</v>
      </c>
      <c r="V337" s="17" t="s">
        <v>4008</v>
      </c>
      <c r="W337" s="17" t="s">
        <v>110</v>
      </c>
      <c r="X337" s="70">
        <v>54</v>
      </c>
      <c r="Y337" s="70">
        <v>36</v>
      </c>
      <c r="Z337" s="13">
        <v>23839</v>
      </c>
      <c r="AA337" s="13">
        <v>23894</v>
      </c>
      <c r="AB337" s="13">
        <v>23926</v>
      </c>
      <c r="AC337" s="13">
        <v>33697</v>
      </c>
      <c r="AD337" s="86">
        <v>11478</v>
      </c>
      <c r="AE337" s="86">
        <v>11478</v>
      </c>
      <c r="AF337" s="70" t="s">
        <v>4009</v>
      </c>
      <c r="AG337" s="17" t="s">
        <v>4010</v>
      </c>
      <c r="AH337" s="17" t="s">
        <v>4011</v>
      </c>
      <c r="AI337" s="70" t="s">
        <v>4012</v>
      </c>
      <c r="AJ337" s="17" t="s">
        <v>4013</v>
      </c>
      <c r="AK337" s="17" t="s">
        <v>95</v>
      </c>
      <c r="AL337" s="17" t="s">
        <v>86</v>
      </c>
      <c r="AM337" s="17" t="s">
        <v>825</v>
      </c>
      <c r="AN337" s="17" t="s">
        <v>86</v>
      </c>
      <c r="AO337" s="17" t="s">
        <v>4014</v>
      </c>
      <c r="AP337" s="17" t="s">
        <v>4015</v>
      </c>
      <c r="AQ337" s="17" t="s">
        <v>4016</v>
      </c>
      <c r="AR337" s="17" t="s">
        <v>4017</v>
      </c>
      <c r="AS337" s="17" t="s">
        <v>4018</v>
      </c>
      <c r="AT337" s="17"/>
      <c r="AU337" s="30" t="s">
        <v>4019</v>
      </c>
      <c r="AV337" s="14">
        <v>7179</v>
      </c>
      <c r="AW337" s="74"/>
      <c r="AX337" s="1"/>
      <c r="AY337" s="17" t="s">
        <v>101</v>
      </c>
    </row>
    <row r="338" spans="1:51" ht="15" customHeight="1" x14ac:dyDescent="0.25">
      <c r="A338" s="5">
        <v>335</v>
      </c>
      <c r="B338" s="9">
        <v>335</v>
      </c>
      <c r="C338" s="9" t="s">
        <v>4020</v>
      </c>
      <c r="D338" s="57" t="str">
        <f>HYPERLINK("http://prodenv.dep.state.fl.us/DepNexus/public/electronic-documents/OG_335/facility!search","OG_335_Docs")</f>
        <v>OG_335_Docs</v>
      </c>
      <c r="E338" s="57" t="str">
        <f>HYPERLINK("https://ca.dep.state.fl.us/mapdirect/?focus=oilandgas&amp;zoom=query&amp;querytype=oilandgas&amp;queryvalues=OG_335","OG_335_Map")</f>
        <v>OG_335_Map</v>
      </c>
      <c r="F338" s="1" t="s">
        <v>1752</v>
      </c>
      <c r="G338" s="1" t="s">
        <v>3668</v>
      </c>
      <c r="H338" s="1" t="s">
        <v>3669</v>
      </c>
      <c r="I338" s="1" t="s">
        <v>4021</v>
      </c>
      <c r="J338" s="17" t="s">
        <v>268</v>
      </c>
      <c r="K338" s="17" t="s">
        <v>412</v>
      </c>
      <c r="L338" s="17"/>
      <c r="M338" s="17"/>
      <c r="N338" s="52" t="s">
        <v>3826</v>
      </c>
      <c r="O338" s="17" t="s">
        <v>86</v>
      </c>
      <c r="P338" s="17" t="s">
        <v>86</v>
      </c>
      <c r="Q338" s="81" t="s">
        <v>4022</v>
      </c>
      <c r="R338" s="11">
        <v>26.538951000000001</v>
      </c>
      <c r="S338" s="11">
        <v>-81.431414000000004</v>
      </c>
      <c r="T338" s="11" t="s">
        <v>4023</v>
      </c>
      <c r="U338" s="11" t="s">
        <v>4024</v>
      </c>
      <c r="V338" s="17" t="s">
        <v>4025</v>
      </c>
      <c r="W338" s="17" t="s">
        <v>110</v>
      </c>
      <c r="X338" s="70">
        <v>52.6</v>
      </c>
      <c r="Y338" s="70">
        <v>35.700000000000003</v>
      </c>
      <c r="Z338" s="13">
        <v>23839</v>
      </c>
      <c r="AA338" s="13">
        <v>23830</v>
      </c>
      <c r="AB338" s="13">
        <v>23877</v>
      </c>
      <c r="AC338" s="13">
        <v>33603</v>
      </c>
      <c r="AD338" s="86">
        <v>11484</v>
      </c>
      <c r="AE338" s="86">
        <v>11484</v>
      </c>
      <c r="AF338" s="70" t="s">
        <v>4026</v>
      </c>
      <c r="AG338" s="17" t="s">
        <v>4027</v>
      </c>
      <c r="AH338" s="17" t="s">
        <v>4028</v>
      </c>
      <c r="AI338" s="70" t="s">
        <v>3945</v>
      </c>
      <c r="AJ338" s="17" t="s">
        <v>4029</v>
      </c>
      <c r="AK338" s="17" t="s">
        <v>95</v>
      </c>
      <c r="AL338" s="17" t="s">
        <v>4030</v>
      </c>
      <c r="AM338" s="17" t="s">
        <v>825</v>
      </c>
      <c r="AN338" s="17" t="s">
        <v>86</v>
      </c>
      <c r="AO338" s="17" t="s">
        <v>4031</v>
      </c>
      <c r="AP338" s="17" t="s">
        <v>4032</v>
      </c>
      <c r="AQ338" s="17" t="s">
        <v>4033</v>
      </c>
      <c r="AR338" s="17" t="s">
        <v>4034</v>
      </c>
      <c r="AS338" s="17" t="s">
        <v>4035</v>
      </c>
      <c r="AT338" s="17"/>
      <c r="AU338" s="30" t="s">
        <v>4036</v>
      </c>
      <c r="AV338" s="14">
        <v>7055</v>
      </c>
      <c r="AW338" s="74"/>
      <c r="AX338" s="1"/>
      <c r="AY338" s="17" t="s">
        <v>101</v>
      </c>
    </row>
    <row r="339" spans="1:51" ht="15" customHeight="1" x14ac:dyDescent="0.25">
      <c r="A339" s="5">
        <v>336</v>
      </c>
      <c r="B339" s="9">
        <v>336</v>
      </c>
      <c r="C339" s="9" t="s">
        <v>4037</v>
      </c>
      <c r="D339" s="57" t="str">
        <f>HYPERLINK("http://prodenv.dep.state.fl.us/DepNexus/public/electronic-documents/OG_336/facility!search","OG_336_Docs")</f>
        <v>OG_336_Docs</v>
      </c>
      <c r="E339" s="57" t="str">
        <f>HYPERLINK("https://ca.dep.state.fl.us/mapdirect/?focus=oilandgas&amp;zoom=query&amp;querytype=oilandgas&amp;queryvalues=OG_336","OG_336_Map")</f>
        <v>OG_336_Map</v>
      </c>
      <c r="F339" s="1" t="s">
        <v>1752</v>
      </c>
      <c r="G339" s="1" t="s">
        <v>3668</v>
      </c>
      <c r="H339" s="1" t="s">
        <v>3669</v>
      </c>
      <c r="I339" s="1" t="s">
        <v>4038</v>
      </c>
      <c r="J339" s="17" t="s">
        <v>268</v>
      </c>
      <c r="K339" s="17" t="s">
        <v>3937</v>
      </c>
      <c r="L339" s="17"/>
      <c r="M339" s="17"/>
      <c r="N339" s="52" t="s">
        <v>3886</v>
      </c>
      <c r="O339" s="17" t="s">
        <v>86</v>
      </c>
      <c r="P339" s="17" t="s">
        <v>86</v>
      </c>
      <c r="Q339" s="81" t="s">
        <v>4039</v>
      </c>
      <c r="R339" s="11">
        <v>26.527636000000001</v>
      </c>
      <c r="S339" s="11">
        <v>-81.424629999999993</v>
      </c>
      <c r="T339" s="11" t="s">
        <v>4040</v>
      </c>
      <c r="U339" s="11" t="s">
        <v>4041</v>
      </c>
      <c r="V339" s="17" t="s">
        <v>4042</v>
      </c>
      <c r="W339" s="17" t="s">
        <v>110</v>
      </c>
      <c r="X339" s="70">
        <v>47</v>
      </c>
      <c r="Y339" s="70">
        <v>34</v>
      </c>
      <c r="Z339" s="13">
        <v>23908</v>
      </c>
      <c r="AA339" s="13">
        <v>23968</v>
      </c>
      <c r="AB339" s="13">
        <v>24015</v>
      </c>
      <c r="AC339" s="13">
        <v>32538</v>
      </c>
      <c r="AD339" s="86">
        <v>11475</v>
      </c>
      <c r="AE339" s="86">
        <v>11475</v>
      </c>
      <c r="AF339" s="70" t="s">
        <v>3276</v>
      </c>
      <c r="AG339" s="17" t="s">
        <v>4043</v>
      </c>
      <c r="AH339" s="17" t="s">
        <v>4044</v>
      </c>
      <c r="AI339" s="70" t="s">
        <v>4045</v>
      </c>
      <c r="AJ339" s="17" t="s">
        <v>4046</v>
      </c>
      <c r="AK339" s="17" t="s">
        <v>95</v>
      </c>
      <c r="AL339" s="17" t="s">
        <v>94</v>
      </c>
      <c r="AM339" s="17" t="s">
        <v>825</v>
      </c>
      <c r="AN339" s="17" t="s">
        <v>86</v>
      </c>
      <c r="AO339" s="17" t="s">
        <v>3896</v>
      </c>
      <c r="AP339" s="17" t="s">
        <v>4047</v>
      </c>
      <c r="AQ339" s="17" t="s">
        <v>4016</v>
      </c>
      <c r="AR339" s="17" t="s">
        <v>4048</v>
      </c>
      <c r="AS339" s="17" t="s">
        <v>4049</v>
      </c>
      <c r="AT339" s="17"/>
      <c r="AU339" s="30" t="s">
        <v>4050</v>
      </c>
      <c r="AV339" s="14">
        <v>7315</v>
      </c>
      <c r="AW339" s="74"/>
      <c r="AX339" s="1"/>
      <c r="AY339" s="17" t="s">
        <v>101</v>
      </c>
    </row>
    <row r="340" spans="1:51" ht="15" customHeight="1" x14ac:dyDescent="0.25">
      <c r="A340" s="5">
        <v>337</v>
      </c>
      <c r="B340" s="9">
        <v>337</v>
      </c>
      <c r="C340" s="9" t="s">
        <v>4051</v>
      </c>
      <c r="D340" s="57" t="str">
        <f>HYPERLINK("http://prodenv.dep.state.fl.us/DepNexus/public/electronic-documents/OG_337/facility!search","OG_337_Docs")</f>
        <v>OG_337_Docs</v>
      </c>
      <c r="E340" s="57" t="str">
        <f>HYPERLINK("https://ca.dep.state.fl.us/mapdirect/?focus=oilandgas&amp;zoom=query&amp;querytype=oilandgas&amp;queryvalues=OG_337","OG_337_Map")</f>
        <v>OG_337_Map</v>
      </c>
      <c r="F340" s="1" t="s">
        <v>1752</v>
      </c>
      <c r="G340" s="1" t="s">
        <v>3668</v>
      </c>
      <c r="H340" s="1" t="s">
        <v>3669</v>
      </c>
      <c r="I340" s="1" t="s">
        <v>4052</v>
      </c>
      <c r="J340" s="17" t="s">
        <v>268</v>
      </c>
      <c r="K340" s="17" t="s">
        <v>412</v>
      </c>
      <c r="L340" s="17"/>
      <c r="M340" s="17"/>
      <c r="N340" s="52" t="s">
        <v>3886</v>
      </c>
      <c r="O340" s="17" t="s">
        <v>86</v>
      </c>
      <c r="P340" s="17" t="s">
        <v>86</v>
      </c>
      <c r="Q340" s="81" t="s">
        <v>4053</v>
      </c>
      <c r="R340" s="11">
        <v>26.532523999999999</v>
      </c>
      <c r="S340" s="11">
        <v>-81.423838000000003</v>
      </c>
      <c r="T340" s="11" t="s">
        <v>4054</v>
      </c>
      <c r="U340" s="11" t="s">
        <v>4055</v>
      </c>
      <c r="V340" s="17" t="s">
        <v>4056</v>
      </c>
      <c r="W340" s="17" t="s">
        <v>110</v>
      </c>
      <c r="X340" s="70">
        <v>46</v>
      </c>
      <c r="Y340" s="70">
        <v>34</v>
      </c>
      <c r="Z340" s="13">
        <v>24041</v>
      </c>
      <c r="AA340" s="13">
        <v>24049</v>
      </c>
      <c r="AB340" s="13">
        <v>24084</v>
      </c>
      <c r="AC340" s="13">
        <v>32582</v>
      </c>
      <c r="AD340" s="86">
        <v>11469</v>
      </c>
      <c r="AE340" s="86">
        <v>11469</v>
      </c>
      <c r="AF340" s="70" t="s">
        <v>2110</v>
      </c>
      <c r="AG340" s="17" t="s">
        <v>3924</v>
      </c>
      <c r="AH340" s="17" t="s">
        <v>3925</v>
      </c>
      <c r="AI340" s="70" t="s">
        <v>4045</v>
      </c>
      <c r="AJ340" s="17" t="s">
        <v>94</v>
      </c>
      <c r="AK340" s="17" t="s">
        <v>95</v>
      </c>
      <c r="AL340" s="17" t="s">
        <v>94</v>
      </c>
      <c r="AM340" s="17" t="s">
        <v>94</v>
      </c>
      <c r="AN340" s="17" t="s">
        <v>94</v>
      </c>
      <c r="AO340" s="17" t="s">
        <v>4057</v>
      </c>
      <c r="AP340" s="17" t="s">
        <v>4058</v>
      </c>
      <c r="AQ340" s="17" t="s">
        <v>4059</v>
      </c>
      <c r="AR340" s="17" t="s">
        <v>4060</v>
      </c>
      <c r="AS340" s="17" t="s">
        <v>4061</v>
      </c>
      <c r="AT340" s="17"/>
      <c r="AU340" s="30" t="s">
        <v>4062</v>
      </c>
      <c r="AV340" s="14">
        <v>7531</v>
      </c>
      <c r="AW340" s="74"/>
      <c r="AX340" s="1"/>
      <c r="AY340" s="17" t="s">
        <v>101</v>
      </c>
    </row>
    <row r="341" spans="1:51" ht="15" customHeight="1" x14ac:dyDescent="0.25">
      <c r="A341" s="5">
        <v>338</v>
      </c>
      <c r="B341" s="9">
        <v>338</v>
      </c>
      <c r="C341" s="9" t="s">
        <v>4063</v>
      </c>
      <c r="D341" s="57" t="str">
        <f>HYPERLINK("http://prodenv.dep.state.fl.us/DepNexus/public/electronic-documents/OG_338/facility!search","OG_338_Docs")</f>
        <v>OG_338_Docs</v>
      </c>
      <c r="E341" s="57" t="str">
        <f>HYPERLINK("https://ca.dep.state.fl.us/mapdirect/?focus=oilandgas&amp;zoom=query&amp;querytype=oilandgas&amp;queryvalues=OG_338","OG_338_Map")</f>
        <v>OG_338_Map</v>
      </c>
      <c r="F341" s="1" t="s">
        <v>1041</v>
      </c>
      <c r="G341" s="1" t="s">
        <v>79</v>
      </c>
      <c r="H341" s="1" t="s">
        <v>4064</v>
      </c>
      <c r="I341" s="1" t="s">
        <v>4065</v>
      </c>
      <c r="J341" s="17" t="s">
        <v>82</v>
      </c>
      <c r="K341" s="17" t="s">
        <v>83</v>
      </c>
      <c r="L341" s="17"/>
      <c r="M341" s="17"/>
      <c r="N341" s="52" t="s">
        <v>3956</v>
      </c>
      <c r="O341" s="17" t="s">
        <v>86</v>
      </c>
      <c r="P341" s="17" t="s">
        <v>86</v>
      </c>
      <c r="Q341" s="81" t="s">
        <v>4066</v>
      </c>
      <c r="R341" s="11">
        <v>30.132808000000001</v>
      </c>
      <c r="S341" s="11">
        <v>-82.577280999999999</v>
      </c>
      <c r="T341" s="11" t="s">
        <v>4067</v>
      </c>
      <c r="U341" s="11" t="s">
        <v>4068</v>
      </c>
      <c r="V341" s="17" t="s">
        <v>4069</v>
      </c>
      <c r="W341" s="17" t="s">
        <v>110</v>
      </c>
      <c r="X341" s="70">
        <v>174</v>
      </c>
      <c r="Y341" s="70">
        <v>165</v>
      </c>
      <c r="Z341" s="13">
        <v>23839</v>
      </c>
      <c r="AA341" s="13">
        <v>23842</v>
      </c>
      <c r="AB341" s="13">
        <v>23922</v>
      </c>
      <c r="AC341" s="13">
        <v>23922</v>
      </c>
      <c r="AD341" s="86">
        <v>5050</v>
      </c>
      <c r="AE341" s="86">
        <v>5050</v>
      </c>
      <c r="AF341" s="70" t="s">
        <v>4070</v>
      </c>
      <c r="AG341" s="17" t="s">
        <v>4071</v>
      </c>
      <c r="AH341" s="17" t="s">
        <v>4072</v>
      </c>
      <c r="AI341" s="70" t="s">
        <v>94</v>
      </c>
      <c r="AJ341" s="17" t="s">
        <v>94</v>
      </c>
      <c r="AK341" s="17" t="s">
        <v>95</v>
      </c>
      <c r="AL341" s="17" t="s">
        <v>94</v>
      </c>
      <c r="AM341" s="17" t="s">
        <v>94</v>
      </c>
      <c r="AN341" s="17" t="s">
        <v>94</v>
      </c>
      <c r="AO341" s="17" t="s">
        <v>98</v>
      </c>
      <c r="AP341" s="17" t="s">
        <v>98</v>
      </c>
      <c r="AQ341" s="17" t="s">
        <v>98</v>
      </c>
      <c r="AR341" s="17" t="s">
        <v>94</v>
      </c>
      <c r="AS341" s="17" t="s">
        <v>4073</v>
      </c>
      <c r="AT341" s="17">
        <v>120</v>
      </c>
      <c r="AU341" s="30" t="s">
        <v>4074</v>
      </c>
      <c r="AV341" s="14">
        <v>7163</v>
      </c>
      <c r="AW341" s="74"/>
      <c r="AX341" s="1"/>
      <c r="AY341" s="17" t="s">
        <v>101</v>
      </c>
    </row>
    <row r="342" spans="1:51" ht="12.75" customHeight="1" x14ac:dyDescent="0.25">
      <c r="A342" s="5">
        <v>339</v>
      </c>
      <c r="B342" s="9">
        <v>339</v>
      </c>
      <c r="C342" s="9" t="s">
        <v>4075</v>
      </c>
      <c r="D342" s="57" t="str">
        <f>HYPERLINK("http://prodenv.dep.state.fl.us/DepNexus/public/electronic-documents/OG_339/facility!search","OG_339_Docs")</f>
        <v>OG_339_Docs</v>
      </c>
      <c r="E342" s="57" t="str">
        <f>HYPERLINK("https://ca.dep.state.fl.us/mapdirect/?focus=oilandgas&amp;zoom=query&amp;querytype=oilandgas&amp;queryvalues=OG_339","OG_339_Map")</f>
        <v>OG_339_Map</v>
      </c>
      <c r="F342" s="1" t="s">
        <v>1041</v>
      </c>
      <c r="G342" s="1" t="s">
        <v>79</v>
      </c>
      <c r="H342" s="1" t="s">
        <v>4076</v>
      </c>
      <c r="I342" s="1" t="s">
        <v>4065</v>
      </c>
      <c r="J342" s="17" t="s">
        <v>82</v>
      </c>
      <c r="K342" s="17" t="s">
        <v>83</v>
      </c>
      <c r="L342" s="17"/>
      <c r="M342" s="17"/>
      <c r="N342" s="52" t="s">
        <v>3956</v>
      </c>
      <c r="O342" s="17" t="s">
        <v>86</v>
      </c>
      <c r="P342" s="17" t="s">
        <v>86</v>
      </c>
      <c r="Q342" s="81" t="s">
        <v>4077</v>
      </c>
      <c r="R342" s="11">
        <v>30.139993</v>
      </c>
      <c r="S342" s="11">
        <v>-82.493761000000006</v>
      </c>
      <c r="T342" s="11" t="s">
        <v>4078</v>
      </c>
      <c r="U342" s="11" t="s">
        <v>4079</v>
      </c>
      <c r="V342" s="17" t="s">
        <v>4080</v>
      </c>
      <c r="W342" s="17" t="s">
        <v>110</v>
      </c>
      <c r="X342" s="70">
        <v>156</v>
      </c>
      <c r="Y342" s="70">
        <v>147</v>
      </c>
      <c r="Z342" s="13">
        <v>23873</v>
      </c>
      <c r="AA342" s="13">
        <v>23871</v>
      </c>
      <c r="AB342" s="13">
        <v>23884</v>
      </c>
      <c r="AC342" s="13">
        <v>23884</v>
      </c>
      <c r="AD342" s="86">
        <v>3078</v>
      </c>
      <c r="AE342" s="86">
        <v>3078</v>
      </c>
      <c r="AF342" s="70" t="s">
        <v>4081</v>
      </c>
      <c r="AG342" s="17" t="s">
        <v>4082</v>
      </c>
      <c r="AH342" s="17" t="s">
        <v>94</v>
      </c>
      <c r="AI342" s="70" t="s">
        <v>94</v>
      </c>
      <c r="AJ342" s="17" t="s">
        <v>94</v>
      </c>
      <c r="AK342" s="17" t="s">
        <v>95</v>
      </c>
      <c r="AL342" s="17" t="s">
        <v>94</v>
      </c>
      <c r="AM342" s="17" t="s">
        <v>94</v>
      </c>
      <c r="AN342" s="17" t="s">
        <v>94</v>
      </c>
      <c r="AO342" s="17" t="s">
        <v>98</v>
      </c>
      <c r="AP342" s="17" t="s">
        <v>98</v>
      </c>
      <c r="AQ342" s="17" t="s">
        <v>98</v>
      </c>
      <c r="AR342" s="17" t="s">
        <v>94</v>
      </c>
      <c r="AS342" s="17" t="s">
        <v>4083</v>
      </c>
      <c r="AT342" s="17">
        <v>105</v>
      </c>
      <c r="AU342" s="30" t="s">
        <v>4084</v>
      </c>
      <c r="AV342" s="14">
        <v>7108</v>
      </c>
      <c r="AW342" s="74"/>
      <c r="AX342" s="1"/>
      <c r="AY342" s="17" t="s">
        <v>101</v>
      </c>
    </row>
    <row r="343" spans="1:51" ht="12.75" customHeight="1" x14ac:dyDescent="0.25">
      <c r="A343" s="5">
        <v>340</v>
      </c>
      <c r="B343" s="9">
        <v>340</v>
      </c>
      <c r="C343" s="9" t="s">
        <v>4085</v>
      </c>
      <c r="D343" s="57" t="str">
        <f>HYPERLINK("http://prodenv.dep.state.fl.us/DepNexus/public/electronic-documents/OG_340/facility!search","OG_340_Docs")</f>
        <v>OG_340_Docs</v>
      </c>
      <c r="E343" s="57" t="str">
        <f>HYPERLINK("https://ca.dep.state.fl.us/mapdirect/?focus=oilandgas&amp;zoom=query&amp;querytype=oilandgas&amp;queryvalues=OG_340","OG_340_Map")</f>
        <v>OG_340_Map</v>
      </c>
      <c r="F343" s="1" t="s">
        <v>1752</v>
      </c>
      <c r="G343" s="1" t="s">
        <v>3668</v>
      </c>
      <c r="H343" s="1" t="s">
        <v>3669</v>
      </c>
      <c r="I343" s="1" t="s">
        <v>4086</v>
      </c>
      <c r="J343" s="17" t="s">
        <v>268</v>
      </c>
      <c r="K343" s="17" t="s">
        <v>3937</v>
      </c>
      <c r="L343" s="17"/>
      <c r="M343" s="17"/>
      <c r="N343" s="52" t="s">
        <v>4087</v>
      </c>
      <c r="O343" s="17" t="s">
        <v>86</v>
      </c>
      <c r="P343" s="17" t="s">
        <v>86</v>
      </c>
      <c r="Q343" s="81" t="s">
        <v>4088</v>
      </c>
      <c r="R343" s="11">
        <v>26.545195</v>
      </c>
      <c r="S343" s="11">
        <v>-81.431961999999999</v>
      </c>
      <c r="T343" s="11" t="s">
        <v>4089</v>
      </c>
      <c r="U343" s="11" t="s">
        <v>4090</v>
      </c>
      <c r="V343" s="17" t="s">
        <v>4091</v>
      </c>
      <c r="W343" s="17" t="s">
        <v>110</v>
      </c>
      <c r="X343" s="70">
        <v>53</v>
      </c>
      <c r="Y343" s="70">
        <v>36</v>
      </c>
      <c r="Z343" s="13">
        <v>23873</v>
      </c>
      <c r="AA343" s="13">
        <v>23890</v>
      </c>
      <c r="AB343" s="13">
        <v>23937</v>
      </c>
      <c r="AC343" s="13">
        <v>32538</v>
      </c>
      <c r="AD343" s="86">
        <v>11550</v>
      </c>
      <c r="AE343" s="86">
        <v>11550</v>
      </c>
      <c r="AF343" s="70" t="s">
        <v>4009</v>
      </c>
      <c r="AG343" s="17" t="s">
        <v>4092</v>
      </c>
      <c r="AH343" s="17" t="s">
        <v>4093</v>
      </c>
      <c r="AI343" s="70" t="s">
        <v>4094</v>
      </c>
      <c r="AJ343" s="17" t="s">
        <v>4095</v>
      </c>
      <c r="AK343" s="17" t="s">
        <v>95</v>
      </c>
      <c r="AL343" s="17" t="s">
        <v>4096</v>
      </c>
      <c r="AM343" s="17" t="s">
        <v>94</v>
      </c>
      <c r="AN343" s="17" t="s">
        <v>4097</v>
      </c>
      <c r="AO343" s="17" t="s">
        <v>4098</v>
      </c>
      <c r="AP343" s="17" t="s">
        <v>4099</v>
      </c>
      <c r="AQ343" s="17" t="s">
        <v>4100</v>
      </c>
      <c r="AR343" s="17" t="s">
        <v>4101</v>
      </c>
      <c r="AS343" s="17" t="s">
        <v>4102</v>
      </c>
      <c r="AT343" s="17"/>
      <c r="AU343" s="30" t="s">
        <v>4103</v>
      </c>
      <c r="AV343" s="14">
        <v>7177</v>
      </c>
      <c r="AW343" s="74"/>
      <c r="AX343" s="1"/>
      <c r="AY343" s="17" t="s">
        <v>101</v>
      </c>
    </row>
    <row r="344" spans="1:51" ht="15" customHeight="1" x14ac:dyDescent="0.25">
      <c r="A344" s="5">
        <v>341</v>
      </c>
      <c r="B344" s="9">
        <v>341</v>
      </c>
      <c r="C344" s="9" t="s">
        <v>4104</v>
      </c>
      <c r="D344" s="57" t="str">
        <f>HYPERLINK("http://prodenv.dep.state.fl.us/DepNexus/public/electronic-documents/OG_341/facility!search","OG_341_Docs")</f>
        <v>OG_341_Docs</v>
      </c>
      <c r="E344" s="57" t="str">
        <f>HYPERLINK("https://ca.dep.state.fl.us/mapdirect/?focus=oilandgas&amp;zoom=query&amp;querytype=oilandgas&amp;queryvalues=OG_341","OG_341_Map")</f>
        <v>OG_341_Map</v>
      </c>
      <c r="F344" s="1" t="s">
        <v>1752</v>
      </c>
      <c r="G344" s="1" t="s">
        <v>3668</v>
      </c>
      <c r="H344" s="1" t="s">
        <v>128</v>
      </c>
      <c r="I344" s="1" t="s">
        <v>4105</v>
      </c>
      <c r="J344" s="17" t="s">
        <v>207</v>
      </c>
      <c r="K344" s="17" t="s">
        <v>208</v>
      </c>
      <c r="L344" s="17"/>
      <c r="M344" s="17" t="s">
        <v>207</v>
      </c>
      <c r="N344" s="52" t="s">
        <v>86</v>
      </c>
      <c r="O344" s="17" t="s">
        <v>86</v>
      </c>
      <c r="P344" s="17" t="s">
        <v>86</v>
      </c>
      <c r="Q344" s="81" t="s">
        <v>4106</v>
      </c>
      <c r="R344" s="11">
        <v>26.546416000000001</v>
      </c>
      <c r="S344" s="11">
        <v>-81.447265000000002</v>
      </c>
      <c r="T344" s="11" t="s">
        <v>4107</v>
      </c>
      <c r="U344" s="11" t="s">
        <v>4108</v>
      </c>
      <c r="V344" s="17" t="s">
        <v>4109</v>
      </c>
      <c r="W344" s="17" t="s">
        <v>110</v>
      </c>
      <c r="X344" s="70"/>
      <c r="Y344" s="70"/>
      <c r="Z344" s="13">
        <v>23879</v>
      </c>
      <c r="AA344" s="13"/>
      <c r="AB344" s="13"/>
      <c r="AC344" s="13"/>
      <c r="AD344" s="86"/>
      <c r="AE344" s="70"/>
      <c r="AF344" s="70" t="s">
        <v>207</v>
      </c>
      <c r="AG344" s="14" t="s">
        <v>207</v>
      </c>
      <c r="AH344" s="14" t="s">
        <v>207</v>
      </c>
      <c r="AI344" s="70" t="s">
        <v>207</v>
      </c>
      <c r="AJ344" s="14" t="s">
        <v>207</v>
      </c>
      <c r="AK344" s="14" t="s">
        <v>207</v>
      </c>
      <c r="AL344" s="14" t="s">
        <v>207</v>
      </c>
      <c r="AM344" s="14" t="s">
        <v>207</v>
      </c>
      <c r="AN344" s="14" t="s">
        <v>207</v>
      </c>
      <c r="AO344" s="14" t="s">
        <v>207</v>
      </c>
      <c r="AP344" s="14" t="s">
        <v>207</v>
      </c>
      <c r="AQ344" s="14" t="s">
        <v>207</v>
      </c>
      <c r="AR344" s="14" t="s">
        <v>207</v>
      </c>
      <c r="AS344" s="14" t="s">
        <v>207</v>
      </c>
      <c r="AT344" s="14" t="s">
        <v>207</v>
      </c>
      <c r="AU344" s="30" t="s">
        <v>4110</v>
      </c>
      <c r="AV344" s="14" t="s">
        <v>207</v>
      </c>
      <c r="AW344" s="74"/>
      <c r="AX344" s="1"/>
      <c r="AY344" s="17" t="s">
        <v>101</v>
      </c>
    </row>
    <row r="345" spans="1:51" ht="12.75" customHeight="1" x14ac:dyDescent="0.25">
      <c r="A345" s="5">
        <v>342</v>
      </c>
      <c r="B345" s="9">
        <v>342</v>
      </c>
      <c r="C345" s="9" t="s">
        <v>4111</v>
      </c>
      <c r="D345" s="57" t="str">
        <f>HYPERLINK("http://prodenv.dep.state.fl.us/DepNexus/public/electronic-documents/OG_342/facility!search","OG_342_Docs")</f>
        <v>OG_342_Docs</v>
      </c>
      <c r="E345" s="57" t="str">
        <f>HYPERLINK("https://ca.dep.state.fl.us/mapdirect/?focus=oilandgas&amp;zoom=query&amp;querytype=oilandgas&amp;queryvalues=OG_342","OG_342_Map")</f>
        <v>OG_342_Map</v>
      </c>
      <c r="F345" s="1" t="s">
        <v>1752</v>
      </c>
      <c r="G345" s="1" t="s">
        <v>3668</v>
      </c>
      <c r="H345" s="1" t="s">
        <v>3669</v>
      </c>
      <c r="I345" s="1" t="s">
        <v>4112</v>
      </c>
      <c r="J345" s="17" t="s">
        <v>268</v>
      </c>
      <c r="K345" s="17" t="s">
        <v>3937</v>
      </c>
      <c r="L345" s="17"/>
      <c r="M345" s="17"/>
      <c r="N345" s="52" t="s">
        <v>3535</v>
      </c>
      <c r="O345" s="17" t="s">
        <v>86</v>
      </c>
      <c r="P345" s="17" t="s">
        <v>86</v>
      </c>
      <c r="Q345" s="81" t="s">
        <v>4113</v>
      </c>
      <c r="R345" s="11">
        <v>26.546831999999998</v>
      </c>
      <c r="S345" s="11">
        <v>-81.438702000000006</v>
      </c>
      <c r="T345" s="11" t="s">
        <v>4114</v>
      </c>
      <c r="U345" s="11" t="s">
        <v>4115</v>
      </c>
      <c r="V345" s="17" t="s">
        <v>4116</v>
      </c>
      <c r="W345" s="17" t="s">
        <v>110</v>
      </c>
      <c r="X345" s="70">
        <v>53</v>
      </c>
      <c r="Y345" s="70">
        <v>36</v>
      </c>
      <c r="Z345" s="13">
        <v>23879</v>
      </c>
      <c r="AA345" s="13">
        <v>23926</v>
      </c>
      <c r="AB345" s="13">
        <v>24021</v>
      </c>
      <c r="AC345" s="13">
        <v>31593</v>
      </c>
      <c r="AD345" s="86">
        <v>11525</v>
      </c>
      <c r="AE345" s="86">
        <v>11525</v>
      </c>
      <c r="AF345" s="70" t="s">
        <v>4117</v>
      </c>
      <c r="AG345" s="17" t="s">
        <v>4118</v>
      </c>
      <c r="AH345" s="17" t="s">
        <v>4119</v>
      </c>
      <c r="AI345" s="70" t="s">
        <v>4120</v>
      </c>
      <c r="AJ345" s="17" t="s">
        <v>4121</v>
      </c>
      <c r="AK345" s="17" t="s">
        <v>95</v>
      </c>
      <c r="AL345" s="17" t="s">
        <v>95</v>
      </c>
      <c r="AM345" s="17" t="s">
        <v>94</v>
      </c>
      <c r="AN345" s="17" t="s">
        <v>86</v>
      </c>
      <c r="AO345" s="17" t="s">
        <v>4122</v>
      </c>
      <c r="AP345" s="17" t="s">
        <v>4123</v>
      </c>
      <c r="AQ345" s="17" t="s">
        <v>4124</v>
      </c>
      <c r="AR345" s="17" t="s">
        <v>4125</v>
      </c>
      <c r="AS345" s="17" t="s">
        <v>4126</v>
      </c>
      <c r="AT345" s="17"/>
      <c r="AU345" s="30" t="s">
        <v>4127</v>
      </c>
      <c r="AV345" s="14">
        <v>7201</v>
      </c>
      <c r="AW345" s="74"/>
      <c r="AX345" s="1"/>
      <c r="AY345" s="17" t="s">
        <v>101</v>
      </c>
    </row>
    <row r="346" spans="1:51" ht="15" customHeight="1" x14ac:dyDescent="0.25">
      <c r="A346" s="5">
        <v>343</v>
      </c>
      <c r="B346" s="9">
        <v>343</v>
      </c>
      <c r="C346" s="9" t="s">
        <v>4128</v>
      </c>
      <c r="D346" s="57" t="str">
        <f>HYPERLINK("http://prodenv.dep.state.fl.us/DepNexus/public/electronic-documents/OG_343/facility!search","OG_343_Docs")</f>
        <v>OG_343_Docs</v>
      </c>
      <c r="E346" s="57" t="str">
        <f>HYPERLINK("https://ca.dep.state.fl.us/mapdirect/?focus=oilandgas&amp;zoom=query&amp;querytype=oilandgas&amp;queryvalues=OG_343","OG_343_Map")</f>
        <v>OG_343_Map</v>
      </c>
      <c r="F346" s="1" t="s">
        <v>1752</v>
      </c>
      <c r="G346" s="1" t="s">
        <v>3668</v>
      </c>
      <c r="H346" s="1" t="s">
        <v>3669</v>
      </c>
      <c r="I346" s="1" t="s">
        <v>4129</v>
      </c>
      <c r="J346" s="17" t="s">
        <v>268</v>
      </c>
      <c r="K346" s="17" t="s">
        <v>412</v>
      </c>
      <c r="L346" s="17"/>
      <c r="M346" s="17"/>
      <c r="N346" s="52" t="s">
        <v>3626</v>
      </c>
      <c r="O346" s="17" t="s">
        <v>86</v>
      </c>
      <c r="P346" s="17" t="s">
        <v>86</v>
      </c>
      <c r="Q346" s="81" t="s">
        <v>4130</v>
      </c>
      <c r="R346" s="11">
        <v>26.554756999999999</v>
      </c>
      <c r="S346" s="11">
        <v>-81.470141999999996</v>
      </c>
      <c r="T346" s="11" t="s">
        <v>4131</v>
      </c>
      <c r="U346" s="11" t="s">
        <v>4132</v>
      </c>
      <c r="V346" s="17" t="s">
        <v>4133</v>
      </c>
      <c r="W346" s="17" t="s">
        <v>110</v>
      </c>
      <c r="X346" s="70">
        <v>52</v>
      </c>
      <c r="Y346" s="70">
        <v>34</v>
      </c>
      <c r="Z346" s="13">
        <v>23887</v>
      </c>
      <c r="AA346" s="13">
        <v>23887</v>
      </c>
      <c r="AB346" s="13">
        <v>23924</v>
      </c>
      <c r="AC346" s="13">
        <v>26620</v>
      </c>
      <c r="AD346" s="86">
        <v>11551</v>
      </c>
      <c r="AE346" s="86">
        <v>11551</v>
      </c>
      <c r="AF346" s="70" t="s">
        <v>4134</v>
      </c>
      <c r="AG346" s="17" t="s">
        <v>4135</v>
      </c>
      <c r="AH346" s="17" t="s">
        <v>4136</v>
      </c>
      <c r="AI346" s="70" t="s">
        <v>4137</v>
      </c>
      <c r="AJ346" s="17" t="s">
        <v>4138</v>
      </c>
      <c r="AK346" s="17" t="s">
        <v>95</v>
      </c>
      <c r="AL346" s="17" t="s">
        <v>94</v>
      </c>
      <c r="AM346" s="17" t="s">
        <v>94</v>
      </c>
      <c r="AN346" s="17" t="s">
        <v>86</v>
      </c>
      <c r="AO346" s="17" t="s">
        <v>4139</v>
      </c>
      <c r="AP346" s="17" t="s">
        <v>4140</v>
      </c>
      <c r="AQ346" s="17" t="s">
        <v>3982</v>
      </c>
      <c r="AR346" s="17" t="s">
        <v>4141</v>
      </c>
      <c r="AS346" s="17" t="s">
        <v>4142</v>
      </c>
      <c r="AT346" s="17"/>
      <c r="AU346" s="30" t="s">
        <v>4143</v>
      </c>
      <c r="AV346" s="14">
        <v>7182</v>
      </c>
      <c r="AW346" s="74"/>
      <c r="AX346" s="1"/>
      <c r="AY346" s="17" t="s">
        <v>101</v>
      </c>
    </row>
    <row r="347" spans="1:51" ht="15" customHeight="1" x14ac:dyDescent="0.25">
      <c r="A347" s="5">
        <v>344</v>
      </c>
      <c r="B347" s="9">
        <v>344</v>
      </c>
      <c r="C347" s="9" t="s">
        <v>4144</v>
      </c>
      <c r="D347" s="57" t="str">
        <f>HYPERLINK("http://prodenv.dep.state.fl.us/DepNexus/public/electronic-documents/OG_344/facility!search","OG_344_Docs")</f>
        <v>OG_344_Docs</v>
      </c>
      <c r="E347" s="57" t="str">
        <f>HYPERLINK("https://ca.dep.state.fl.us/mapdirect/?focus=oilandgas&amp;zoom=query&amp;querytype=oilandgas&amp;queryvalues=OG_344","OG_344_Map")</f>
        <v>OG_344_Map</v>
      </c>
      <c r="F347" s="1" t="s">
        <v>265</v>
      </c>
      <c r="G347" s="1" t="s">
        <v>266</v>
      </c>
      <c r="H347" s="1" t="s">
        <v>176</v>
      </c>
      <c r="I347" s="1" t="s">
        <v>4145</v>
      </c>
      <c r="J347" s="17" t="s">
        <v>268</v>
      </c>
      <c r="K347" s="17" t="s">
        <v>412</v>
      </c>
      <c r="L347" s="17"/>
      <c r="M347" s="17"/>
      <c r="N347" s="52" t="s">
        <v>4146</v>
      </c>
      <c r="O347" s="17" t="s">
        <v>270</v>
      </c>
      <c r="P347" s="17" t="s">
        <v>86</v>
      </c>
      <c r="Q347" s="81" t="s">
        <v>1368</v>
      </c>
      <c r="R347" s="11">
        <v>26.297675999999999</v>
      </c>
      <c r="S347" s="11">
        <v>-81.365465999999998</v>
      </c>
      <c r="T347" s="11" t="s">
        <v>4147</v>
      </c>
      <c r="U347" s="11" t="s">
        <v>4148</v>
      </c>
      <c r="V347" s="17" t="s">
        <v>4149</v>
      </c>
      <c r="W347" s="17" t="s">
        <v>110</v>
      </c>
      <c r="X347" s="70">
        <v>35</v>
      </c>
      <c r="Y347" s="70">
        <v>19</v>
      </c>
      <c r="Z347" s="13">
        <v>23894</v>
      </c>
      <c r="AA347" s="13">
        <v>23932</v>
      </c>
      <c r="AB347" s="13">
        <v>24009</v>
      </c>
      <c r="AC347" s="13">
        <v>33968</v>
      </c>
      <c r="AD347" s="86">
        <v>11654</v>
      </c>
      <c r="AE347" s="86">
        <v>11654</v>
      </c>
      <c r="AF347" s="70" t="s">
        <v>4150</v>
      </c>
      <c r="AG347" s="17" t="s">
        <v>4151</v>
      </c>
      <c r="AH347" s="17" t="s">
        <v>4152</v>
      </c>
      <c r="AI347" s="70" t="s">
        <v>4153</v>
      </c>
      <c r="AJ347" s="17" t="s">
        <v>4154</v>
      </c>
      <c r="AK347" s="17" t="s">
        <v>95</v>
      </c>
      <c r="AL347" s="17" t="s">
        <v>94</v>
      </c>
      <c r="AM347" s="17" t="s">
        <v>94</v>
      </c>
      <c r="AN347" s="17" t="s">
        <v>86</v>
      </c>
      <c r="AO347" s="17" t="s">
        <v>4155</v>
      </c>
      <c r="AP347" s="17" t="s">
        <v>4156</v>
      </c>
      <c r="AQ347" s="17" t="s">
        <v>4157</v>
      </c>
      <c r="AR347" s="17" t="s">
        <v>4158</v>
      </c>
      <c r="AS347" s="17" t="s">
        <v>4159</v>
      </c>
      <c r="AT347" s="17">
        <v>210</v>
      </c>
      <c r="AU347" s="30" t="s">
        <v>4160</v>
      </c>
      <c r="AV347" s="14">
        <v>7475</v>
      </c>
      <c r="AW347" s="74"/>
      <c r="AX347" s="1" t="s">
        <v>4161</v>
      </c>
      <c r="AY347" s="17" t="s">
        <v>101</v>
      </c>
    </row>
    <row r="348" spans="1:51" ht="15" customHeight="1" x14ac:dyDescent="0.25">
      <c r="A348" s="5">
        <v>345</v>
      </c>
      <c r="B348" s="9">
        <v>345</v>
      </c>
      <c r="C348" s="9" t="s">
        <v>4162</v>
      </c>
      <c r="D348" s="57" t="str">
        <f>HYPERLINK("http://prodenv.dep.state.fl.us/DepNexus/public/electronic-documents/OG_345/facility!search","OG_345_Docs")</f>
        <v>OG_345_Docs</v>
      </c>
      <c r="E348" s="57" t="str">
        <f>HYPERLINK("https://ca.dep.state.fl.us/mapdirect/?focus=oilandgas&amp;zoom=query&amp;querytype=oilandgas&amp;queryvalues=OG_345","OG_345_Map")</f>
        <v>OG_345_Map</v>
      </c>
      <c r="F348" s="1" t="s">
        <v>265</v>
      </c>
      <c r="G348" s="1" t="s">
        <v>266</v>
      </c>
      <c r="H348" s="1" t="s">
        <v>176</v>
      </c>
      <c r="I348" s="1" t="s">
        <v>4163</v>
      </c>
      <c r="J348" s="17" t="s">
        <v>268</v>
      </c>
      <c r="K348" s="17" t="s">
        <v>412</v>
      </c>
      <c r="L348" s="17"/>
      <c r="M348" s="17"/>
      <c r="N348" s="52" t="s">
        <v>4164</v>
      </c>
      <c r="O348" s="17" t="s">
        <v>270</v>
      </c>
      <c r="P348" s="17" t="s">
        <v>86</v>
      </c>
      <c r="Q348" s="81" t="s">
        <v>4165</v>
      </c>
      <c r="R348" s="11">
        <v>26.290126000000001</v>
      </c>
      <c r="S348" s="11">
        <v>-81.369364000000004</v>
      </c>
      <c r="T348" s="11" t="s">
        <v>4166</v>
      </c>
      <c r="U348" s="11" t="s">
        <v>4167</v>
      </c>
      <c r="V348" s="17" t="s">
        <v>2044</v>
      </c>
      <c r="W348" s="17" t="s">
        <v>110</v>
      </c>
      <c r="X348" s="70">
        <v>36</v>
      </c>
      <c r="Y348" s="70">
        <v>18</v>
      </c>
      <c r="Z348" s="13">
        <v>23908</v>
      </c>
      <c r="AA348" s="13">
        <v>24003</v>
      </c>
      <c r="AB348" s="13">
        <v>24083</v>
      </c>
      <c r="AC348" s="13">
        <v>32685</v>
      </c>
      <c r="AD348" s="86">
        <v>14500</v>
      </c>
      <c r="AE348" s="86">
        <v>14500</v>
      </c>
      <c r="AF348" s="70" t="s">
        <v>4168</v>
      </c>
      <c r="AG348" s="17" t="s">
        <v>4169</v>
      </c>
      <c r="AH348" s="17" t="s">
        <v>4170</v>
      </c>
      <c r="AI348" s="70" t="s">
        <v>4171</v>
      </c>
      <c r="AJ348" s="17" t="s">
        <v>4172</v>
      </c>
      <c r="AK348" s="17" t="s">
        <v>95</v>
      </c>
      <c r="AL348" s="17" t="s">
        <v>4173</v>
      </c>
      <c r="AM348" s="17" t="s">
        <v>825</v>
      </c>
      <c r="AN348" s="17" t="s">
        <v>4174</v>
      </c>
      <c r="AO348" s="17" t="s">
        <v>4175</v>
      </c>
      <c r="AP348" s="17" t="s">
        <v>4176</v>
      </c>
      <c r="AQ348" s="17" t="s">
        <v>4059</v>
      </c>
      <c r="AR348" s="17" t="s">
        <v>4177</v>
      </c>
      <c r="AS348" s="17" t="s">
        <v>4178</v>
      </c>
      <c r="AT348" s="17"/>
      <c r="AU348" s="30" t="s">
        <v>4179</v>
      </c>
      <c r="AV348" s="14">
        <v>7522</v>
      </c>
      <c r="AW348" s="74"/>
      <c r="AX348" s="1"/>
      <c r="AY348" s="17" t="s">
        <v>101</v>
      </c>
    </row>
    <row r="349" spans="1:51" ht="15" customHeight="1" x14ac:dyDescent="0.25">
      <c r="A349" s="5">
        <v>346</v>
      </c>
      <c r="B349" s="9">
        <v>346</v>
      </c>
      <c r="C349" s="9" t="s">
        <v>4180</v>
      </c>
      <c r="D349" s="57" t="str">
        <f>HYPERLINK("http://prodenv.dep.state.fl.us/DepNexus/public/electronic-documents/OG_346/facility!search","OG_346_Docs")</f>
        <v>OG_346_Docs</v>
      </c>
      <c r="E349" s="57" t="str">
        <f>HYPERLINK("https://ca.dep.state.fl.us/mapdirect/?focus=oilandgas&amp;zoom=query&amp;querytype=oilandgas&amp;queryvalues=OG_346","OG_346_Map")</f>
        <v>OG_346_Map</v>
      </c>
      <c r="F349" s="1" t="s">
        <v>1752</v>
      </c>
      <c r="G349" s="1" t="s">
        <v>3668</v>
      </c>
      <c r="H349" s="1" t="s">
        <v>3669</v>
      </c>
      <c r="I349" s="1" t="s">
        <v>4181</v>
      </c>
      <c r="J349" s="17" t="s">
        <v>268</v>
      </c>
      <c r="K349" s="17" t="s">
        <v>3937</v>
      </c>
      <c r="L349" s="17"/>
      <c r="M349" s="17"/>
      <c r="N349" s="52" t="s">
        <v>4182</v>
      </c>
      <c r="O349" s="17" t="s">
        <v>86</v>
      </c>
      <c r="P349" s="17" t="s">
        <v>86</v>
      </c>
      <c r="Q349" s="81" t="s">
        <v>4183</v>
      </c>
      <c r="R349" s="11">
        <v>26.540164000000001</v>
      </c>
      <c r="S349" s="11">
        <v>-81.423308000000006</v>
      </c>
      <c r="T349" s="11" t="s">
        <v>4184</v>
      </c>
      <c r="U349" s="11" t="s">
        <v>4185</v>
      </c>
      <c r="V349" s="17" t="s">
        <v>4186</v>
      </c>
      <c r="W349" s="17" t="s">
        <v>110</v>
      </c>
      <c r="X349" s="70">
        <v>46</v>
      </c>
      <c r="Y349" s="70">
        <v>34</v>
      </c>
      <c r="Z349" s="13">
        <v>23964</v>
      </c>
      <c r="AA349" s="13">
        <v>24015</v>
      </c>
      <c r="AB349" s="13"/>
      <c r="AC349" s="13">
        <v>24065</v>
      </c>
      <c r="AD349" s="86">
        <v>11470</v>
      </c>
      <c r="AE349" s="86">
        <v>11470</v>
      </c>
      <c r="AF349" s="70" t="s">
        <v>4187</v>
      </c>
      <c r="AG349" s="17" t="s">
        <v>4188</v>
      </c>
      <c r="AH349" s="17" t="s">
        <v>4189</v>
      </c>
      <c r="AI349" s="70" t="s">
        <v>4190</v>
      </c>
      <c r="AJ349" s="17" t="s">
        <v>4191</v>
      </c>
      <c r="AK349" s="17" t="s">
        <v>95</v>
      </c>
      <c r="AL349" s="17" t="s">
        <v>86</v>
      </c>
      <c r="AM349" s="17" t="s">
        <v>825</v>
      </c>
      <c r="AN349" s="17" t="s">
        <v>4192</v>
      </c>
      <c r="AO349" s="17" t="s">
        <v>4139</v>
      </c>
      <c r="AP349" s="17" t="s">
        <v>4193</v>
      </c>
      <c r="AQ349" s="17" t="s">
        <v>4194</v>
      </c>
      <c r="AR349" s="17" t="s">
        <v>94</v>
      </c>
      <c r="AS349" s="17" t="s">
        <v>4195</v>
      </c>
      <c r="AT349" s="17"/>
      <c r="AU349" s="30" t="s">
        <v>4196</v>
      </c>
      <c r="AV349" s="14">
        <v>7473</v>
      </c>
      <c r="AW349" s="74"/>
      <c r="AX349" s="1" t="s">
        <v>4197</v>
      </c>
      <c r="AY349" s="17" t="s">
        <v>101</v>
      </c>
    </row>
    <row r="350" spans="1:51" ht="15" customHeight="1" x14ac:dyDescent="0.25">
      <c r="A350" s="5">
        <v>347</v>
      </c>
      <c r="B350" s="9">
        <v>347</v>
      </c>
      <c r="C350" s="9" t="s">
        <v>4198</v>
      </c>
      <c r="D350" s="57" t="str">
        <f>HYPERLINK("http://prodenv.dep.state.fl.us/DepNexus/public/electronic-documents/OG_347/facility!search","OG_347_Docs")</f>
        <v>OG_347_Docs</v>
      </c>
      <c r="E350" s="57" t="str">
        <f>HYPERLINK("https://ca.dep.state.fl.us/mapdirect/?focus=oilandgas&amp;zoom=query&amp;querytype=oilandgas&amp;queryvalues=OG_347","OG_347_Map")</f>
        <v>OG_347_Map</v>
      </c>
      <c r="F350" s="1" t="s">
        <v>127</v>
      </c>
      <c r="G350" s="1" t="s">
        <v>79</v>
      </c>
      <c r="H350" s="1" t="s">
        <v>4199</v>
      </c>
      <c r="I350" s="1" t="s">
        <v>4200</v>
      </c>
      <c r="J350" s="17" t="s">
        <v>82</v>
      </c>
      <c r="K350" s="17" t="s">
        <v>83</v>
      </c>
      <c r="L350" s="17"/>
      <c r="M350" s="17"/>
      <c r="N350" s="52" t="s">
        <v>4201</v>
      </c>
      <c r="O350" s="17" t="s">
        <v>86</v>
      </c>
      <c r="P350" s="17" t="s">
        <v>86</v>
      </c>
      <c r="Q350" s="81" t="s">
        <v>4202</v>
      </c>
      <c r="R350" s="11">
        <v>29.840769000000002</v>
      </c>
      <c r="S350" s="11">
        <v>-83.165350000000004</v>
      </c>
      <c r="T350" s="11" t="s">
        <v>4203</v>
      </c>
      <c r="U350" s="11" t="s">
        <v>4204</v>
      </c>
      <c r="V350" s="17" t="s">
        <v>4205</v>
      </c>
      <c r="W350" s="17" t="s">
        <v>110</v>
      </c>
      <c r="X350" s="70">
        <v>64</v>
      </c>
      <c r="Y350" s="70">
        <v>57</v>
      </c>
      <c r="Z350" s="13">
        <v>23971</v>
      </c>
      <c r="AA350" s="13">
        <v>23998</v>
      </c>
      <c r="AB350" s="13">
        <v>25659</v>
      </c>
      <c r="AC350" s="13">
        <v>25659</v>
      </c>
      <c r="AD350" s="86">
        <v>6754</v>
      </c>
      <c r="AE350" s="86">
        <v>6754</v>
      </c>
      <c r="AF350" s="70" t="s">
        <v>4206</v>
      </c>
      <c r="AG350" s="17" t="s">
        <v>4207</v>
      </c>
      <c r="AH350" s="17" t="s">
        <v>94</v>
      </c>
      <c r="AI350" s="70" t="s">
        <v>94</v>
      </c>
      <c r="AJ350" s="17" t="s">
        <v>94</v>
      </c>
      <c r="AK350" s="17" t="s">
        <v>95</v>
      </c>
      <c r="AL350" s="17" t="s">
        <v>4208</v>
      </c>
      <c r="AM350" s="17" t="s">
        <v>95</v>
      </c>
      <c r="AN350" s="17" t="s">
        <v>94</v>
      </c>
      <c r="AO350" s="17" t="s">
        <v>98</v>
      </c>
      <c r="AP350" s="17" t="s">
        <v>98</v>
      </c>
      <c r="AQ350" s="17" t="s">
        <v>98</v>
      </c>
      <c r="AR350" s="17" t="s">
        <v>94</v>
      </c>
      <c r="AS350" s="17" t="s">
        <v>4209</v>
      </c>
      <c r="AT350" s="17">
        <v>139</v>
      </c>
      <c r="AU350" s="30" t="s">
        <v>4210</v>
      </c>
      <c r="AV350" s="14">
        <v>7440</v>
      </c>
      <c r="AW350" s="74"/>
      <c r="AX350" s="1"/>
      <c r="AY350" s="17" t="s">
        <v>101</v>
      </c>
    </row>
    <row r="351" spans="1:51" ht="12.75" customHeight="1" x14ac:dyDescent="0.25">
      <c r="A351" s="5">
        <v>348</v>
      </c>
      <c r="B351" s="9">
        <v>348</v>
      </c>
      <c r="C351" s="9" t="s">
        <v>4211</v>
      </c>
      <c r="D351" s="57" t="str">
        <f>HYPERLINK("http://prodenv.dep.state.fl.us/DepNexus/public/electronic-documents/OG_348/facility!search","OG_348_Docs")</f>
        <v>OG_348_Docs</v>
      </c>
      <c r="E351" s="57" t="str">
        <f>HYPERLINK("https://ca.dep.state.fl.us/mapdirect/?focus=oilandgas&amp;zoom=query&amp;querytype=oilandgas&amp;queryvalues=OG_348","OG_348_Map")</f>
        <v>OG_348_Map</v>
      </c>
      <c r="F351" s="1" t="s">
        <v>265</v>
      </c>
      <c r="G351" s="1" t="s">
        <v>3668</v>
      </c>
      <c r="H351" s="1" t="s">
        <v>3669</v>
      </c>
      <c r="I351" s="1" t="s">
        <v>4212</v>
      </c>
      <c r="J351" s="17" t="s">
        <v>268</v>
      </c>
      <c r="K351" s="17" t="s">
        <v>412</v>
      </c>
      <c r="L351" s="17"/>
      <c r="M351" s="17"/>
      <c r="N351" s="52" t="s">
        <v>130</v>
      </c>
      <c r="O351" s="17" t="s">
        <v>86</v>
      </c>
      <c r="P351" s="17" t="s">
        <v>86</v>
      </c>
      <c r="Q351" s="81" t="s">
        <v>4213</v>
      </c>
      <c r="R351" s="11">
        <v>26.512419000000001</v>
      </c>
      <c r="S351" s="11">
        <v>-81.430616000000001</v>
      </c>
      <c r="T351" s="11" t="s">
        <v>4214</v>
      </c>
      <c r="U351" s="11" t="s">
        <v>4215</v>
      </c>
      <c r="V351" s="17" t="s">
        <v>4216</v>
      </c>
      <c r="W351" s="17" t="s">
        <v>110</v>
      </c>
      <c r="X351" s="70">
        <v>54</v>
      </c>
      <c r="Y351" s="70">
        <v>36</v>
      </c>
      <c r="Z351" s="13">
        <v>23971</v>
      </c>
      <c r="AA351" s="13">
        <v>23982</v>
      </c>
      <c r="AB351" s="13">
        <v>24020</v>
      </c>
      <c r="AC351" s="13">
        <v>33043</v>
      </c>
      <c r="AD351" s="86">
        <v>11488</v>
      </c>
      <c r="AE351" s="86">
        <v>11488</v>
      </c>
      <c r="AF351" s="70" t="s">
        <v>4217</v>
      </c>
      <c r="AG351" s="17" t="s">
        <v>4218</v>
      </c>
      <c r="AH351" s="17" t="s">
        <v>4219</v>
      </c>
      <c r="AI351" s="70" t="s">
        <v>4220</v>
      </c>
      <c r="AJ351" s="17" t="s">
        <v>4221</v>
      </c>
      <c r="AK351" s="17" t="s">
        <v>95</v>
      </c>
      <c r="AL351" s="17" t="s">
        <v>86</v>
      </c>
      <c r="AM351" s="17" t="s">
        <v>94</v>
      </c>
      <c r="AN351" s="17" t="s">
        <v>86</v>
      </c>
      <c r="AO351" s="17" t="s">
        <v>3804</v>
      </c>
      <c r="AP351" s="17" t="s">
        <v>4222</v>
      </c>
      <c r="AQ351" s="17" t="s">
        <v>3852</v>
      </c>
      <c r="AR351" s="17" t="s">
        <v>94</v>
      </c>
      <c r="AS351" s="17" t="s">
        <v>4223</v>
      </c>
      <c r="AT351" s="17"/>
      <c r="AU351" s="30" t="s">
        <v>4224</v>
      </c>
      <c r="AV351" s="14">
        <v>7375</v>
      </c>
      <c r="AW351" s="74"/>
      <c r="AX351" s="1"/>
      <c r="AY351" s="17" t="s">
        <v>101</v>
      </c>
    </row>
    <row r="352" spans="1:51" ht="15" customHeight="1" x14ac:dyDescent="0.25">
      <c r="A352" s="5">
        <v>349</v>
      </c>
      <c r="B352" s="9">
        <v>349</v>
      </c>
      <c r="C352" s="9" t="s">
        <v>4225</v>
      </c>
      <c r="D352" s="57" t="str">
        <f>HYPERLINK("http://prodenv.dep.state.fl.us/DepNexus/public/electronic-documents/OG_349/facility!search","OG_349_Docs")</f>
        <v>OG_349_Docs</v>
      </c>
      <c r="E352" s="57" t="str">
        <f>HYPERLINK("https://ca.dep.state.fl.us/mapdirect/?focus=oilandgas&amp;zoom=query&amp;querytype=oilandgas&amp;queryvalues=OG_349","OG_349_Map")</f>
        <v>OG_349_Map</v>
      </c>
      <c r="F352" s="1" t="s">
        <v>1752</v>
      </c>
      <c r="G352" s="1" t="s">
        <v>3668</v>
      </c>
      <c r="H352" s="1" t="s">
        <v>3669</v>
      </c>
      <c r="I352" s="1" t="s">
        <v>4226</v>
      </c>
      <c r="J352" s="17" t="s">
        <v>268</v>
      </c>
      <c r="K352" s="17" t="s">
        <v>3937</v>
      </c>
      <c r="L352" s="17"/>
      <c r="M352" s="17"/>
      <c r="N352" s="52" t="s">
        <v>130</v>
      </c>
      <c r="O352" s="17" t="s">
        <v>86</v>
      </c>
      <c r="P352" s="17" t="s">
        <v>86</v>
      </c>
      <c r="Q352" s="81" t="s">
        <v>4227</v>
      </c>
      <c r="R352" s="11">
        <v>26.533048000000001</v>
      </c>
      <c r="S352" s="11">
        <v>-81.454751000000002</v>
      </c>
      <c r="T352" s="11" t="s">
        <v>4228</v>
      </c>
      <c r="U352" s="11" t="s">
        <v>4229</v>
      </c>
      <c r="V352" s="17" t="s">
        <v>4230</v>
      </c>
      <c r="W352" s="17" t="s">
        <v>110</v>
      </c>
      <c r="X352" s="70">
        <v>53</v>
      </c>
      <c r="Y352" s="70">
        <v>36</v>
      </c>
      <c r="Z352" s="13">
        <v>23985</v>
      </c>
      <c r="AA352" s="13">
        <v>23990</v>
      </c>
      <c r="AB352" s="13">
        <v>24029</v>
      </c>
      <c r="AC352" s="13">
        <v>30721</v>
      </c>
      <c r="AD352" s="86">
        <v>11484</v>
      </c>
      <c r="AE352" s="86">
        <v>11484</v>
      </c>
      <c r="AF352" s="70" t="s">
        <v>4217</v>
      </c>
      <c r="AG352" s="17" t="s">
        <v>4231</v>
      </c>
      <c r="AH352" s="17" t="s">
        <v>4232</v>
      </c>
      <c r="AI352" s="70" t="s">
        <v>4233</v>
      </c>
      <c r="AJ352" s="17" t="s">
        <v>4234</v>
      </c>
      <c r="AK352" s="17" t="s">
        <v>825</v>
      </c>
      <c r="AL352" s="17" t="s">
        <v>86</v>
      </c>
      <c r="AM352" s="17" t="s">
        <v>94</v>
      </c>
      <c r="AN352" s="17" t="s">
        <v>86</v>
      </c>
      <c r="AO352" s="17" t="s">
        <v>4235</v>
      </c>
      <c r="AP352" s="17" t="s">
        <v>4236</v>
      </c>
      <c r="AQ352" s="17" t="s">
        <v>4237</v>
      </c>
      <c r="AR352" s="17" t="s">
        <v>94</v>
      </c>
      <c r="AS352" s="17" t="s">
        <v>4238</v>
      </c>
      <c r="AT352" s="17"/>
      <c r="AU352" s="30" t="s">
        <v>4239</v>
      </c>
      <c r="AV352" s="14" t="s">
        <v>94</v>
      </c>
      <c r="AW352" s="74"/>
      <c r="AX352" s="1"/>
      <c r="AY352" s="17" t="s">
        <v>101</v>
      </c>
    </row>
    <row r="353" spans="1:51" ht="15" customHeight="1" x14ac:dyDescent="0.25">
      <c r="A353" s="5">
        <v>350</v>
      </c>
      <c r="B353" s="9">
        <v>350</v>
      </c>
      <c r="C353" s="9" t="s">
        <v>4240</v>
      </c>
      <c r="D353" s="57" t="str">
        <f>HYPERLINK("http://prodenv.dep.state.fl.us/DepNexus/public/electronic-documents/OG_350/facility!search","OG_350_Docs")</f>
        <v>OG_350_Docs</v>
      </c>
      <c r="E353" s="57" t="str">
        <f>HYPERLINK("https://ca.dep.state.fl.us/mapdirect/?focus=oilandgas&amp;zoom=query&amp;querytype=oilandgas&amp;queryvalues=OG_350","OG_350_Map")</f>
        <v>OG_350_Map</v>
      </c>
      <c r="F353" s="1" t="s">
        <v>4241</v>
      </c>
      <c r="G353" s="1" t="s">
        <v>79</v>
      </c>
      <c r="H353" s="1" t="s">
        <v>4242</v>
      </c>
      <c r="I353" s="1" t="s">
        <v>4243</v>
      </c>
      <c r="J353" s="17" t="s">
        <v>82</v>
      </c>
      <c r="K353" s="17" t="s">
        <v>83</v>
      </c>
      <c r="L353" s="17"/>
      <c r="M353" s="17" t="s">
        <v>84</v>
      </c>
      <c r="N353" s="52" t="s">
        <v>4244</v>
      </c>
      <c r="O353" s="17" t="s">
        <v>86</v>
      </c>
      <c r="P353" s="17" t="s">
        <v>86</v>
      </c>
      <c r="Q353" s="81" t="s">
        <v>4245</v>
      </c>
      <c r="R353" s="11">
        <v>28.845597999999999</v>
      </c>
      <c r="S353" s="11">
        <v>-82.608885999999998</v>
      </c>
      <c r="T353" s="11" t="s">
        <v>4246</v>
      </c>
      <c r="U353" s="11" t="s">
        <v>4247</v>
      </c>
      <c r="V353" s="17" t="s">
        <v>4248</v>
      </c>
      <c r="W353" s="17" t="s">
        <v>110</v>
      </c>
      <c r="X353" s="70">
        <v>13</v>
      </c>
      <c r="Y353" s="70">
        <v>5</v>
      </c>
      <c r="Z353" s="13">
        <v>23992</v>
      </c>
      <c r="AA353" s="13">
        <v>24010</v>
      </c>
      <c r="AB353" s="13">
        <v>24038</v>
      </c>
      <c r="AC353" s="13">
        <v>24038</v>
      </c>
      <c r="AD353" s="86">
        <v>5564</v>
      </c>
      <c r="AE353" s="86">
        <v>5564</v>
      </c>
      <c r="AF353" s="70" t="s">
        <v>4249</v>
      </c>
      <c r="AG353" s="17" t="s">
        <v>4250</v>
      </c>
      <c r="AH353" s="17" t="s">
        <v>94</v>
      </c>
      <c r="AI353" s="70" t="s">
        <v>94</v>
      </c>
      <c r="AJ353" s="17" t="s">
        <v>94</v>
      </c>
      <c r="AK353" s="17" t="s">
        <v>95</v>
      </c>
      <c r="AL353" s="17" t="s">
        <v>86</v>
      </c>
      <c r="AM353" s="17" t="s">
        <v>94</v>
      </c>
      <c r="AN353" s="17" t="s">
        <v>86</v>
      </c>
      <c r="AO353" s="17" t="s">
        <v>98</v>
      </c>
      <c r="AP353" s="17" t="s">
        <v>98</v>
      </c>
      <c r="AQ353" s="17" t="s">
        <v>98</v>
      </c>
      <c r="AR353" s="17" t="s">
        <v>94</v>
      </c>
      <c r="AS353" s="17" t="s">
        <v>4251</v>
      </c>
      <c r="AT353" s="17">
        <v>128</v>
      </c>
      <c r="AU353" s="30" t="s">
        <v>4252</v>
      </c>
      <c r="AV353" s="14">
        <v>7543</v>
      </c>
      <c r="AW353" s="74"/>
      <c r="AX353" s="1"/>
      <c r="AY353" s="17" t="s">
        <v>101</v>
      </c>
    </row>
    <row r="354" spans="1:51" ht="12.75" customHeight="1" x14ac:dyDescent="0.25">
      <c r="A354" s="5">
        <v>351</v>
      </c>
      <c r="B354" s="9">
        <v>351</v>
      </c>
      <c r="C354" s="9" t="s">
        <v>4253</v>
      </c>
      <c r="D354" s="57" t="str">
        <f>HYPERLINK("http://prodenv.dep.state.fl.us/DepNexus/public/electronic-documents/OG_351/facility!search","OG_351_Docs")</f>
        <v>OG_351_Docs</v>
      </c>
      <c r="E354" s="57" t="str">
        <f>HYPERLINK("https://ca.dep.state.fl.us/mapdirect/?focus=oilandgas&amp;zoom=query&amp;querytype=oilandgas&amp;queryvalues=OG_351","OG_351_Map")</f>
        <v>OG_351_Map</v>
      </c>
      <c r="F354" s="1" t="s">
        <v>1752</v>
      </c>
      <c r="G354" s="1" t="s">
        <v>3668</v>
      </c>
      <c r="H354" s="1" t="s">
        <v>3669</v>
      </c>
      <c r="I354" s="1" t="s">
        <v>4254</v>
      </c>
      <c r="J354" s="17" t="s">
        <v>82</v>
      </c>
      <c r="K354" s="17" t="s">
        <v>83</v>
      </c>
      <c r="L354" s="17"/>
      <c r="M354" s="17"/>
      <c r="N354" s="52" t="s">
        <v>3193</v>
      </c>
      <c r="O354" s="17" t="s">
        <v>86</v>
      </c>
      <c r="P354" s="17" t="s">
        <v>86</v>
      </c>
      <c r="Q354" s="81" t="s">
        <v>4255</v>
      </c>
      <c r="R354" s="11">
        <v>26.518985000000001</v>
      </c>
      <c r="S354" s="11">
        <v>-81.445256000000001</v>
      </c>
      <c r="T354" s="11" t="s">
        <v>4256</v>
      </c>
      <c r="U354" s="11" t="s">
        <v>4257</v>
      </c>
      <c r="V354" s="17" t="s">
        <v>4258</v>
      </c>
      <c r="W354" s="17" t="s">
        <v>110</v>
      </c>
      <c r="X354" s="70">
        <v>53</v>
      </c>
      <c r="Y354" s="70">
        <v>36</v>
      </c>
      <c r="Z354" s="13">
        <v>23999</v>
      </c>
      <c r="AA354" s="13">
        <v>24051</v>
      </c>
      <c r="AB354" s="13">
        <v>24079</v>
      </c>
      <c r="AC354" s="13">
        <v>24080</v>
      </c>
      <c r="AD354" s="86">
        <v>11619</v>
      </c>
      <c r="AE354" s="86">
        <v>11619</v>
      </c>
      <c r="AF354" s="70" t="s">
        <v>4259</v>
      </c>
      <c r="AG354" s="17" t="s">
        <v>4260</v>
      </c>
      <c r="AH354" s="17" t="s">
        <v>4261</v>
      </c>
      <c r="AI354" s="70" t="s">
        <v>94</v>
      </c>
      <c r="AJ354" s="17" t="s">
        <v>94</v>
      </c>
      <c r="AK354" s="17" t="s">
        <v>95</v>
      </c>
      <c r="AL354" s="17" t="s">
        <v>86</v>
      </c>
      <c r="AM354" s="17" t="s">
        <v>94</v>
      </c>
      <c r="AN354" s="17" t="s">
        <v>86</v>
      </c>
      <c r="AO354" s="17" t="s">
        <v>98</v>
      </c>
      <c r="AP354" s="17" t="s">
        <v>98</v>
      </c>
      <c r="AQ354" s="17" t="s">
        <v>98</v>
      </c>
      <c r="AR354" s="17" t="s">
        <v>94</v>
      </c>
      <c r="AS354" s="17" t="s">
        <v>4262</v>
      </c>
      <c r="AT354" s="17">
        <v>188</v>
      </c>
      <c r="AU354" s="30" t="s">
        <v>4263</v>
      </c>
      <c r="AV354" s="14">
        <v>7546</v>
      </c>
      <c r="AW354" s="74"/>
      <c r="AX354" s="1"/>
      <c r="AY354" s="17" t="s">
        <v>101</v>
      </c>
    </row>
    <row r="355" spans="1:51" ht="12.75" customHeight="1" x14ac:dyDescent="0.25">
      <c r="A355" s="5">
        <v>352</v>
      </c>
      <c r="B355" s="9">
        <v>352</v>
      </c>
      <c r="C355" s="9" t="s">
        <v>4264</v>
      </c>
      <c r="D355" s="57" t="str">
        <f>HYPERLINK("http://prodenv.dep.state.fl.us/DepNexus/public/electronic-documents/OG_352/facility!search","OG_352_Docs")</f>
        <v>OG_352_Docs</v>
      </c>
      <c r="E355" s="57" t="str">
        <f>HYPERLINK("https://ca.dep.state.fl.us/mapdirect/?focus=oilandgas&amp;zoom=query&amp;querytype=oilandgas&amp;queryvalues=OG_352","OG_352_Map")</f>
        <v>OG_352_Map</v>
      </c>
      <c r="F355" s="1" t="s">
        <v>265</v>
      </c>
      <c r="G355" s="1" t="s">
        <v>3668</v>
      </c>
      <c r="H355" s="1" t="s">
        <v>3669</v>
      </c>
      <c r="I355" s="1" t="s">
        <v>4265</v>
      </c>
      <c r="J355" s="17" t="s">
        <v>268</v>
      </c>
      <c r="K355" s="17" t="s">
        <v>4266</v>
      </c>
      <c r="L355" s="17"/>
      <c r="M355" s="17"/>
      <c r="N355" s="52" t="s">
        <v>4267</v>
      </c>
      <c r="O355" s="17" t="s">
        <v>86</v>
      </c>
      <c r="P355" s="17" t="s">
        <v>86</v>
      </c>
      <c r="Q355" s="81" t="s">
        <v>4268</v>
      </c>
      <c r="R355" s="11">
        <v>26.512536000000001</v>
      </c>
      <c r="S355" s="11">
        <v>-81.438215999999997</v>
      </c>
      <c r="T355" s="11" t="s">
        <v>4269</v>
      </c>
      <c r="U355" s="11" t="s">
        <v>4270</v>
      </c>
      <c r="V355" s="17" t="s">
        <v>4271</v>
      </c>
      <c r="W355" s="17" t="s">
        <v>110</v>
      </c>
      <c r="X355" s="70">
        <v>53</v>
      </c>
      <c r="Y355" s="70">
        <v>36</v>
      </c>
      <c r="Z355" s="13">
        <v>24006</v>
      </c>
      <c r="AA355" s="13">
        <v>24018</v>
      </c>
      <c r="AB355" s="13">
        <v>24136</v>
      </c>
      <c r="AC355" s="13">
        <v>33003</v>
      </c>
      <c r="AD355" s="86">
        <v>11491</v>
      </c>
      <c r="AE355" s="86">
        <v>11491</v>
      </c>
      <c r="AF355" s="70" t="s">
        <v>4117</v>
      </c>
      <c r="AG355" s="17" t="s">
        <v>4272</v>
      </c>
      <c r="AH355" s="17" t="s">
        <v>4273</v>
      </c>
      <c r="AI355" s="70" t="s">
        <v>4274</v>
      </c>
      <c r="AJ355" s="17" t="s">
        <v>4275</v>
      </c>
      <c r="AK355" s="17" t="s">
        <v>95</v>
      </c>
      <c r="AL355" s="17" t="s">
        <v>86</v>
      </c>
      <c r="AM355" s="17" t="s">
        <v>94</v>
      </c>
      <c r="AN355" s="17" t="s">
        <v>86</v>
      </c>
      <c r="AO355" s="17" t="s">
        <v>3366</v>
      </c>
      <c r="AP355" s="17" t="s">
        <v>94</v>
      </c>
      <c r="AQ355" s="17" t="s">
        <v>4276</v>
      </c>
      <c r="AR355" s="17" t="s">
        <v>4277</v>
      </c>
      <c r="AS355" s="17" t="s">
        <v>4278</v>
      </c>
      <c r="AT355" s="17"/>
      <c r="AU355" s="30" t="s">
        <v>4279</v>
      </c>
      <c r="AV355" s="14">
        <v>7474</v>
      </c>
      <c r="AW355" s="74"/>
      <c r="AX355" s="1" t="s">
        <v>4280</v>
      </c>
      <c r="AY355" s="17" t="s">
        <v>101</v>
      </c>
    </row>
    <row r="356" spans="1:51" ht="15" customHeight="1" x14ac:dyDescent="0.25">
      <c r="A356" s="5">
        <v>353</v>
      </c>
      <c r="B356" s="9">
        <v>353</v>
      </c>
      <c r="C356" s="9" t="s">
        <v>4281</v>
      </c>
      <c r="D356" s="57" t="str">
        <f>HYPERLINK("http://prodenv.dep.state.fl.us/DepNexus/public/electronic-documents/OG_353/facility!search","OG_353_Docs")</f>
        <v>OG_353_Docs</v>
      </c>
      <c r="E356" s="57" t="str">
        <f>HYPERLINK("https://ca.dep.state.fl.us/mapdirect/?focus=oilandgas&amp;zoom=query&amp;querytype=oilandgas&amp;queryvalues=OG_353","OG_353_Map")</f>
        <v>OG_353_Map</v>
      </c>
      <c r="F356" s="1" t="s">
        <v>4241</v>
      </c>
      <c r="G356" s="1" t="s">
        <v>79</v>
      </c>
      <c r="H356" s="1" t="s">
        <v>4242</v>
      </c>
      <c r="I356" s="1" t="s">
        <v>4282</v>
      </c>
      <c r="J356" s="17" t="s">
        <v>82</v>
      </c>
      <c r="K356" s="17" t="s">
        <v>83</v>
      </c>
      <c r="L356" s="17"/>
      <c r="M356" s="17" t="s">
        <v>84</v>
      </c>
      <c r="N356" s="52" t="s">
        <v>3956</v>
      </c>
      <c r="O356" s="17" t="s">
        <v>86</v>
      </c>
      <c r="P356" s="17" t="s">
        <v>86</v>
      </c>
      <c r="Q356" s="81" t="s">
        <v>4283</v>
      </c>
      <c r="R356" s="11">
        <v>28.974059</v>
      </c>
      <c r="S356" s="11">
        <v>-82.645205000000004</v>
      </c>
      <c r="T356" s="11" t="s">
        <v>4284</v>
      </c>
      <c r="U356" s="11" t="s">
        <v>4285</v>
      </c>
      <c r="V356" s="17" t="s">
        <v>4286</v>
      </c>
      <c r="W356" s="17" t="s">
        <v>110</v>
      </c>
      <c r="X356" s="70">
        <v>21</v>
      </c>
      <c r="Y356" s="70">
        <v>13</v>
      </c>
      <c r="Z356" s="13">
        <v>24041</v>
      </c>
      <c r="AA356" s="13">
        <v>24042</v>
      </c>
      <c r="AB356" s="13">
        <v>24058</v>
      </c>
      <c r="AC356" s="13">
        <v>24058</v>
      </c>
      <c r="AD356" s="86">
        <v>4794</v>
      </c>
      <c r="AE356" s="86">
        <v>4794</v>
      </c>
      <c r="AF356" s="70" t="s">
        <v>4287</v>
      </c>
      <c r="AG356" s="17" t="s">
        <v>4288</v>
      </c>
      <c r="AH356" s="17" t="s">
        <v>94</v>
      </c>
      <c r="AI356" s="70" t="s">
        <v>94</v>
      </c>
      <c r="AJ356" s="17" t="s">
        <v>94</v>
      </c>
      <c r="AK356" s="17" t="s">
        <v>95</v>
      </c>
      <c r="AL356" s="17" t="s">
        <v>86</v>
      </c>
      <c r="AM356" s="17" t="s">
        <v>94</v>
      </c>
      <c r="AN356" s="17" t="s">
        <v>94</v>
      </c>
      <c r="AO356" s="17" t="s">
        <v>98</v>
      </c>
      <c r="AP356" s="17" t="s">
        <v>98</v>
      </c>
      <c r="AQ356" s="17" t="s">
        <v>98</v>
      </c>
      <c r="AR356" s="17" t="s">
        <v>94</v>
      </c>
      <c r="AS356" s="17" t="s">
        <v>4289</v>
      </c>
      <c r="AT356" s="17">
        <v>117</v>
      </c>
      <c r="AU356" s="30" t="s">
        <v>4290</v>
      </c>
      <c r="AV356" s="14">
        <v>7538</v>
      </c>
      <c r="AW356" s="74"/>
      <c r="AX356" s="1"/>
      <c r="AY356" s="17" t="s">
        <v>101</v>
      </c>
    </row>
    <row r="357" spans="1:51" ht="12.75" customHeight="1" x14ac:dyDescent="0.25">
      <c r="A357" s="5">
        <v>354</v>
      </c>
      <c r="B357" s="9">
        <v>354</v>
      </c>
      <c r="C357" s="9" t="s">
        <v>4291</v>
      </c>
      <c r="D357" s="57" t="str">
        <f>HYPERLINK("http://prodenv.dep.state.fl.us/DepNexus/public/electronic-documents/OG_354/facility!search","OG_354_Docs")</f>
        <v>OG_354_Docs</v>
      </c>
      <c r="E357" s="57" t="str">
        <f>HYPERLINK("https://ca.dep.state.fl.us/mapdirect/?focus=oilandgas&amp;zoom=query&amp;querytype=oilandgas&amp;queryvalues=OG_354","OG_354_Map")</f>
        <v>OG_354_Map</v>
      </c>
      <c r="F357" s="1" t="s">
        <v>1752</v>
      </c>
      <c r="G357" s="1" t="s">
        <v>79</v>
      </c>
      <c r="H357" s="1" t="s">
        <v>4292</v>
      </c>
      <c r="I357" s="1" t="s">
        <v>4293</v>
      </c>
      <c r="J357" s="17" t="s">
        <v>4294</v>
      </c>
      <c r="K357" s="23" t="s">
        <v>4294</v>
      </c>
      <c r="L357" s="17"/>
      <c r="M357" s="17"/>
      <c r="N357" s="52" t="s">
        <v>86</v>
      </c>
      <c r="O357" s="17" t="s">
        <v>86</v>
      </c>
      <c r="P357" s="17" t="s">
        <v>86</v>
      </c>
      <c r="Q357" s="81" t="s">
        <v>4295</v>
      </c>
      <c r="R357" s="11">
        <v>26.693415999999999</v>
      </c>
      <c r="S357" s="11">
        <v>-81.511555999999999</v>
      </c>
      <c r="T357" s="11" t="s">
        <v>4296</v>
      </c>
      <c r="U357" s="11" t="s">
        <v>4297</v>
      </c>
      <c r="V357" s="17" t="s">
        <v>4298</v>
      </c>
      <c r="W357" s="17" t="s">
        <v>110</v>
      </c>
      <c r="X357" s="70">
        <v>40</v>
      </c>
      <c r="Y357" s="70">
        <v>23</v>
      </c>
      <c r="Z357" s="13">
        <v>24048</v>
      </c>
      <c r="AA357" s="13">
        <v>24070</v>
      </c>
      <c r="AB357" s="13">
        <v>24093</v>
      </c>
      <c r="AC357" s="13">
        <v>24093</v>
      </c>
      <c r="AD357" s="86">
        <v>2008</v>
      </c>
      <c r="AE357" s="86">
        <v>2008</v>
      </c>
      <c r="AF357" s="70" t="s">
        <v>3975</v>
      </c>
      <c r="AG357" s="17" t="s">
        <v>4299</v>
      </c>
      <c r="AH357" s="17" t="s">
        <v>94</v>
      </c>
      <c r="AI357" s="70" t="s">
        <v>94</v>
      </c>
      <c r="AJ357" s="17" t="s">
        <v>94</v>
      </c>
      <c r="AK357" s="17" t="s">
        <v>94</v>
      </c>
      <c r="AL357" s="17" t="s">
        <v>94</v>
      </c>
      <c r="AM357" s="17" t="s">
        <v>94</v>
      </c>
      <c r="AN357" s="17" t="s">
        <v>94</v>
      </c>
      <c r="AO357" s="17" t="s">
        <v>94</v>
      </c>
      <c r="AP357" s="17" t="s">
        <v>94</v>
      </c>
      <c r="AQ357" s="17" t="s">
        <v>94</v>
      </c>
      <c r="AR357" s="17" t="s">
        <v>94</v>
      </c>
      <c r="AS357" s="17" t="s">
        <v>4300</v>
      </c>
      <c r="AT357" s="17" t="s">
        <v>98</v>
      </c>
      <c r="AU357" s="30" t="s">
        <v>4301</v>
      </c>
      <c r="AV357" s="14" t="s">
        <v>94</v>
      </c>
      <c r="AW357" s="74"/>
      <c r="AX357" s="1"/>
      <c r="AY357" s="17" t="s">
        <v>101</v>
      </c>
    </row>
    <row r="358" spans="1:51" ht="12.75" customHeight="1" x14ac:dyDescent="0.25">
      <c r="A358" s="5">
        <v>355</v>
      </c>
      <c r="B358" s="9">
        <v>355</v>
      </c>
      <c r="C358" s="9" t="s">
        <v>4302</v>
      </c>
      <c r="D358" s="57" t="str">
        <f>HYPERLINK("http://prodenv.dep.state.fl.us/DepNexus/public/electronic-documents/OG_355/facility!search","OG_355_Docs")</f>
        <v>OG_355_Docs</v>
      </c>
      <c r="E358" s="57" t="str">
        <f>HYPERLINK("https://ca.dep.state.fl.us/mapdirect/?focus=oilandgas&amp;zoom=query&amp;querytype=oilandgas&amp;queryvalues=OG_355","OG_355_Map")</f>
        <v>OG_355_Map</v>
      </c>
      <c r="F358" s="1" t="s">
        <v>1752</v>
      </c>
      <c r="G358" s="1" t="s">
        <v>3668</v>
      </c>
      <c r="H358" s="1" t="s">
        <v>3669</v>
      </c>
      <c r="I358" s="1" t="s">
        <v>4303</v>
      </c>
      <c r="J358" s="17" t="s">
        <v>82</v>
      </c>
      <c r="K358" s="17" t="s">
        <v>83</v>
      </c>
      <c r="L358" s="17"/>
      <c r="M358" s="17"/>
      <c r="N358" s="52" t="s">
        <v>4304</v>
      </c>
      <c r="O358" s="17" t="s">
        <v>86</v>
      </c>
      <c r="P358" s="17" t="s">
        <v>86</v>
      </c>
      <c r="Q358" s="81" t="s">
        <v>4305</v>
      </c>
      <c r="R358" s="11">
        <v>26.532571000000001</v>
      </c>
      <c r="S358" s="11">
        <v>-81.461806999999993</v>
      </c>
      <c r="T358" s="11" t="s">
        <v>4306</v>
      </c>
      <c r="U358" s="11" t="s">
        <v>4307</v>
      </c>
      <c r="V358" s="17" t="s">
        <v>4308</v>
      </c>
      <c r="W358" s="17" t="s">
        <v>110</v>
      </c>
      <c r="X358" s="70">
        <v>52</v>
      </c>
      <c r="Y358" s="70">
        <v>35</v>
      </c>
      <c r="Z358" s="13">
        <v>24048</v>
      </c>
      <c r="AA358" s="13">
        <v>24055</v>
      </c>
      <c r="AB358" s="13">
        <v>24080</v>
      </c>
      <c r="AC358" s="13">
        <v>32619</v>
      </c>
      <c r="AD358" s="86">
        <v>11620</v>
      </c>
      <c r="AE358" s="86">
        <v>11620</v>
      </c>
      <c r="AF358" s="70" t="s">
        <v>4187</v>
      </c>
      <c r="AG358" s="17" t="s">
        <v>4309</v>
      </c>
      <c r="AH358" s="17" t="s">
        <v>4310</v>
      </c>
      <c r="AI358" s="70" t="s">
        <v>4311</v>
      </c>
      <c r="AJ358" s="17" t="s">
        <v>4312</v>
      </c>
      <c r="AK358" s="17" t="s">
        <v>94</v>
      </c>
      <c r="AL358" s="17" t="s">
        <v>94</v>
      </c>
      <c r="AM358" s="17" t="s">
        <v>94</v>
      </c>
      <c r="AN358" s="17" t="s">
        <v>4313</v>
      </c>
      <c r="AO358" s="17" t="s">
        <v>98</v>
      </c>
      <c r="AP358" s="17" t="s">
        <v>98</v>
      </c>
      <c r="AQ358" s="17" t="s">
        <v>98</v>
      </c>
      <c r="AR358" s="17" t="s">
        <v>4314</v>
      </c>
      <c r="AS358" s="17" t="s">
        <v>4315</v>
      </c>
      <c r="AT358" s="17"/>
      <c r="AU358" s="30" t="s">
        <v>4316</v>
      </c>
      <c r="AV358" s="14" t="s">
        <v>94</v>
      </c>
      <c r="AW358" s="74"/>
      <c r="AX358" s="1" t="s">
        <v>4317</v>
      </c>
      <c r="AY358" s="17" t="s">
        <v>101</v>
      </c>
    </row>
    <row r="359" spans="1:51" ht="12.75" customHeight="1" x14ac:dyDescent="0.25">
      <c r="A359" s="5">
        <v>356</v>
      </c>
      <c r="B359" s="9">
        <v>356</v>
      </c>
      <c r="C359" s="9" t="s">
        <v>4318</v>
      </c>
      <c r="D359" s="57" t="str">
        <f>HYPERLINK("http://prodenv.dep.state.fl.us/DepNexus/public/electronic-documents/OG_356/facility!search","OG_356_Docs")</f>
        <v>OG_356_Docs</v>
      </c>
      <c r="E359" s="57" t="str">
        <f>HYPERLINK("https://ca.dep.state.fl.us/mapdirect/?focus=oilandgas&amp;zoom=query&amp;querytype=oilandgas&amp;queryvalues=OG_356","OG_356_Map")</f>
        <v>OG_356_Map</v>
      </c>
      <c r="F359" s="1" t="s">
        <v>1752</v>
      </c>
      <c r="G359" s="1" t="s">
        <v>3668</v>
      </c>
      <c r="H359" s="1" t="s">
        <v>128</v>
      </c>
      <c r="I359" s="1" t="s">
        <v>4319</v>
      </c>
      <c r="J359" s="17" t="s">
        <v>207</v>
      </c>
      <c r="K359" s="17" t="s">
        <v>208</v>
      </c>
      <c r="L359" s="17"/>
      <c r="M359" s="17" t="s">
        <v>207</v>
      </c>
      <c r="N359" s="52" t="s">
        <v>86</v>
      </c>
      <c r="O359" s="17" t="s">
        <v>86</v>
      </c>
      <c r="P359" s="17" t="s">
        <v>86</v>
      </c>
      <c r="Q359" s="81" t="s">
        <v>4320</v>
      </c>
      <c r="R359" s="11">
        <v>26.539783</v>
      </c>
      <c r="S359" s="11">
        <v>-81.461991999999995</v>
      </c>
      <c r="T359" s="11" t="s">
        <v>4321</v>
      </c>
      <c r="U359" s="11" t="s">
        <v>4322</v>
      </c>
      <c r="V359" s="17" t="s">
        <v>4323</v>
      </c>
      <c r="W359" s="17" t="s">
        <v>110</v>
      </c>
      <c r="X359" s="70"/>
      <c r="Y359" s="70"/>
      <c r="Z359" s="13">
        <v>24069</v>
      </c>
      <c r="AA359" s="13"/>
      <c r="AB359" s="13"/>
      <c r="AC359" s="13"/>
      <c r="AD359" s="86"/>
      <c r="AE359" s="70"/>
      <c r="AF359" s="70" t="s">
        <v>207</v>
      </c>
      <c r="AG359" s="14" t="s">
        <v>207</v>
      </c>
      <c r="AH359" s="14" t="s">
        <v>207</v>
      </c>
      <c r="AI359" s="70" t="s">
        <v>207</v>
      </c>
      <c r="AJ359" s="14" t="s">
        <v>207</v>
      </c>
      <c r="AK359" s="14" t="s">
        <v>207</v>
      </c>
      <c r="AL359" s="14" t="s">
        <v>207</v>
      </c>
      <c r="AM359" s="14" t="s">
        <v>207</v>
      </c>
      <c r="AN359" s="14" t="s">
        <v>207</v>
      </c>
      <c r="AO359" s="14" t="s">
        <v>207</v>
      </c>
      <c r="AP359" s="14" t="s">
        <v>207</v>
      </c>
      <c r="AQ359" s="14" t="s">
        <v>207</v>
      </c>
      <c r="AR359" s="14" t="s">
        <v>207</v>
      </c>
      <c r="AS359" s="14" t="s">
        <v>207</v>
      </c>
      <c r="AT359" s="14" t="s">
        <v>207</v>
      </c>
      <c r="AU359" s="30" t="s">
        <v>4324</v>
      </c>
      <c r="AV359" s="14" t="s">
        <v>207</v>
      </c>
      <c r="AW359" s="74"/>
      <c r="AX359" s="1"/>
      <c r="AY359" s="17" t="s">
        <v>101</v>
      </c>
    </row>
    <row r="360" spans="1:51" ht="12.75" customHeight="1" x14ac:dyDescent="0.25">
      <c r="A360" s="5">
        <v>357</v>
      </c>
      <c r="B360" s="9">
        <v>357</v>
      </c>
      <c r="C360" s="9" t="s">
        <v>4325</v>
      </c>
      <c r="D360" s="57" t="str">
        <f>HYPERLINK("http://prodenv.dep.state.fl.us/DepNexus/public/electronic-documents/OG_357/facility!search","OG_357_Docs")</f>
        <v>OG_357_Docs</v>
      </c>
      <c r="E360" s="57" t="str">
        <f>HYPERLINK("https://ca.dep.state.fl.us/mapdirect/?focus=oilandgas&amp;zoom=query&amp;querytype=oilandgas&amp;queryvalues=OG_357","OG_357_Map")</f>
        <v>OG_357_Map</v>
      </c>
      <c r="F360" s="1" t="s">
        <v>265</v>
      </c>
      <c r="G360" s="1" t="s">
        <v>3668</v>
      </c>
      <c r="H360" s="1" t="s">
        <v>3669</v>
      </c>
      <c r="I360" s="1" t="s">
        <v>4326</v>
      </c>
      <c r="J360" s="17" t="s">
        <v>82</v>
      </c>
      <c r="K360" s="17" t="s">
        <v>83</v>
      </c>
      <c r="L360" s="17"/>
      <c r="M360" s="17"/>
      <c r="N360" s="52" t="s">
        <v>3688</v>
      </c>
      <c r="O360" s="17" t="s">
        <v>86</v>
      </c>
      <c r="P360" s="17" t="s">
        <v>86</v>
      </c>
      <c r="Q360" s="81" t="s">
        <v>4327</v>
      </c>
      <c r="R360" s="11">
        <v>26.505723</v>
      </c>
      <c r="S360" s="11">
        <v>-81.431945999999996</v>
      </c>
      <c r="T360" s="11" t="s">
        <v>4328</v>
      </c>
      <c r="U360" s="11" t="s">
        <v>4329</v>
      </c>
      <c r="V360" s="17" t="s">
        <v>4330</v>
      </c>
      <c r="W360" s="17" t="s">
        <v>110</v>
      </c>
      <c r="X360" s="70">
        <v>48</v>
      </c>
      <c r="Y360" s="70">
        <v>36</v>
      </c>
      <c r="Z360" s="13">
        <v>24083</v>
      </c>
      <c r="AA360" s="13">
        <v>24075</v>
      </c>
      <c r="AB360" s="13"/>
      <c r="AC360" s="13">
        <v>24107</v>
      </c>
      <c r="AD360" s="86">
        <v>11630</v>
      </c>
      <c r="AE360" s="86">
        <v>11630</v>
      </c>
      <c r="AF360" s="70" t="s">
        <v>4331</v>
      </c>
      <c r="AG360" s="17" t="s">
        <v>4332</v>
      </c>
      <c r="AH360" s="17" t="s">
        <v>4333</v>
      </c>
      <c r="AI360" s="70" t="s">
        <v>94</v>
      </c>
      <c r="AJ360" s="17" t="s">
        <v>94</v>
      </c>
      <c r="AK360" s="17" t="s">
        <v>95</v>
      </c>
      <c r="AL360" s="17" t="s">
        <v>94</v>
      </c>
      <c r="AM360" s="17" t="s">
        <v>94</v>
      </c>
      <c r="AN360" s="17" t="s">
        <v>94</v>
      </c>
      <c r="AO360" s="17" t="s">
        <v>98</v>
      </c>
      <c r="AP360" s="17" t="s">
        <v>98</v>
      </c>
      <c r="AQ360" s="17" t="s">
        <v>98</v>
      </c>
      <c r="AR360" s="17" t="s">
        <v>94</v>
      </c>
      <c r="AS360" s="17" t="s">
        <v>4334</v>
      </c>
      <c r="AT360" s="17"/>
      <c r="AU360" s="30" t="s">
        <v>4335</v>
      </c>
      <c r="AV360" s="14">
        <v>7575</v>
      </c>
      <c r="AW360" s="74"/>
      <c r="AX360" s="1"/>
      <c r="AY360" s="17" t="s">
        <v>101</v>
      </c>
    </row>
    <row r="361" spans="1:51" ht="12.75" customHeight="1" x14ac:dyDescent="0.25">
      <c r="A361" s="5">
        <v>358</v>
      </c>
      <c r="B361" s="9">
        <v>358</v>
      </c>
      <c r="C361" s="9" t="s">
        <v>4336</v>
      </c>
      <c r="D361" s="57" t="str">
        <f>HYPERLINK("http://prodenv.dep.state.fl.us/DepNexus/public/electronic-documents/OG_358/facility!search","OG_358_Docs")</f>
        <v>OG_358_Docs</v>
      </c>
      <c r="E361" s="57" t="str">
        <f>HYPERLINK("https://ca.dep.state.fl.us/mapdirect/?focus=oilandgas&amp;zoom=query&amp;querytype=oilandgas&amp;queryvalues=OG_358","OG_358_Map")</f>
        <v>OG_358_Map</v>
      </c>
      <c r="F361" s="1" t="s">
        <v>4241</v>
      </c>
      <c r="G361" s="1" t="s">
        <v>79</v>
      </c>
      <c r="H361" s="1" t="s">
        <v>4242</v>
      </c>
      <c r="I361" s="1" t="s">
        <v>4337</v>
      </c>
      <c r="J361" s="17" t="s">
        <v>82</v>
      </c>
      <c r="K361" s="17" t="s">
        <v>83</v>
      </c>
      <c r="L361" s="17"/>
      <c r="M361" s="17" t="s">
        <v>84</v>
      </c>
      <c r="N361" s="52" t="s">
        <v>3956</v>
      </c>
      <c r="O361" s="17" t="s">
        <v>86</v>
      </c>
      <c r="P361" s="17" t="s">
        <v>86</v>
      </c>
      <c r="Q361" s="81" t="s">
        <v>4338</v>
      </c>
      <c r="R361" s="11">
        <v>29.011792</v>
      </c>
      <c r="S361" s="11">
        <v>-82.447404000000006</v>
      </c>
      <c r="T361" s="11" t="s">
        <v>4339</v>
      </c>
      <c r="U361" s="11" t="s">
        <v>4340</v>
      </c>
      <c r="V361" s="17" t="s">
        <v>4341</v>
      </c>
      <c r="W361" s="17" t="s">
        <v>110</v>
      </c>
      <c r="X361" s="70">
        <v>115</v>
      </c>
      <c r="Y361" s="70">
        <v>106</v>
      </c>
      <c r="Z361" s="13">
        <v>24083</v>
      </c>
      <c r="AA361" s="13">
        <v>24066</v>
      </c>
      <c r="AB361" s="13">
        <v>24083</v>
      </c>
      <c r="AC361" s="13">
        <v>24083</v>
      </c>
      <c r="AD361" s="86">
        <v>4493</v>
      </c>
      <c r="AE361" s="86">
        <v>4493</v>
      </c>
      <c r="AF361" s="70" t="s">
        <v>4342</v>
      </c>
      <c r="AG361" s="17" t="s">
        <v>4343</v>
      </c>
      <c r="AH361" s="17" t="s">
        <v>94</v>
      </c>
      <c r="AI361" s="70" t="s">
        <v>94</v>
      </c>
      <c r="AJ361" s="17" t="s">
        <v>94</v>
      </c>
      <c r="AK361" s="17" t="s">
        <v>95</v>
      </c>
      <c r="AL361" s="17" t="s">
        <v>86</v>
      </c>
      <c r="AM361" s="17" t="s">
        <v>94</v>
      </c>
      <c r="AN361" s="17" t="s">
        <v>4344</v>
      </c>
      <c r="AO361" s="17" t="s">
        <v>98</v>
      </c>
      <c r="AP361" s="17" t="s">
        <v>98</v>
      </c>
      <c r="AQ361" s="17" t="s">
        <v>98</v>
      </c>
      <c r="AR361" s="17" t="s">
        <v>94</v>
      </c>
      <c r="AS361" s="17" t="s">
        <v>4345</v>
      </c>
      <c r="AT361" s="17">
        <v>108</v>
      </c>
      <c r="AU361" s="30" t="s">
        <v>4346</v>
      </c>
      <c r="AV361" s="14">
        <v>7534</v>
      </c>
      <c r="AW361" s="74"/>
      <c r="AX361" s="1"/>
      <c r="AY361" s="17" t="s">
        <v>101</v>
      </c>
    </row>
    <row r="362" spans="1:51" ht="12.75" customHeight="1" x14ac:dyDescent="0.25">
      <c r="A362" s="5">
        <v>359</v>
      </c>
      <c r="B362" s="9">
        <v>359</v>
      </c>
      <c r="C362" s="9" t="s">
        <v>4347</v>
      </c>
      <c r="D362" s="57" t="str">
        <f>HYPERLINK("http://prodenv.dep.state.fl.us/DepNexus/public/electronic-documents/OG_359/facility!search","OG_359_Docs")</f>
        <v>OG_359_Docs</v>
      </c>
      <c r="E362" s="57" t="str">
        <f>HYPERLINK("https://ca.dep.state.fl.us/mapdirect/?focus=oilandgas&amp;zoom=query&amp;querytype=oilandgas&amp;queryvalues=OG_359","OG_359_Map")</f>
        <v>OG_359_Map</v>
      </c>
      <c r="F362" s="1" t="s">
        <v>1752</v>
      </c>
      <c r="G362" s="1" t="s">
        <v>3668</v>
      </c>
      <c r="H362" s="1" t="s">
        <v>3669</v>
      </c>
      <c r="I362" s="1" t="s">
        <v>4348</v>
      </c>
      <c r="J362" s="17" t="s">
        <v>82</v>
      </c>
      <c r="K362" s="17" t="s">
        <v>83</v>
      </c>
      <c r="L362" s="17"/>
      <c r="M362" s="17"/>
      <c r="N362" s="52" t="s">
        <v>3688</v>
      </c>
      <c r="O362" s="17" t="s">
        <v>86</v>
      </c>
      <c r="P362" s="17" t="s">
        <v>86</v>
      </c>
      <c r="Q362" s="81" t="s">
        <v>4349</v>
      </c>
      <c r="R362" s="11">
        <v>26.563634</v>
      </c>
      <c r="S362" s="11">
        <v>-81.415925000000001</v>
      </c>
      <c r="T362" s="11" t="s">
        <v>4350</v>
      </c>
      <c r="U362" s="11" t="s">
        <v>4351</v>
      </c>
      <c r="V362" s="17" t="s">
        <v>4352</v>
      </c>
      <c r="W362" s="17" t="s">
        <v>110</v>
      </c>
      <c r="X362" s="70">
        <v>48</v>
      </c>
      <c r="Y362" s="70">
        <v>31</v>
      </c>
      <c r="Z362" s="13">
        <v>24090</v>
      </c>
      <c r="AA362" s="13">
        <v>24088</v>
      </c>
      <c r="AB362" s="13"/>
      <c r="AC362" s="13">
        <v>24119</v>
      </c>
      <c r="AD362" s="86">
        <v>11649</v>
      </c>
      <c r="AE362" s="86">
        <v>11649</v>
      </c>
      <c r="AF362" s="70" t="s">
        <v>4259</v>
      </c>
      <c r="AG362" s="17" t="s">
        <v>4353</v>
      </c>
      <c r="AH362" s="17" t="s">
        <v>4354</v>
      </c>
      <c r="AI362" s="70" t="s">
        <v>94</v>
      </c>
      <c r="AJ362" s="17" t="s">
        <v>94</v>
      </c>
      <c r="AK362" s="17" t="s">
        <v>95</v>
      </c>
      <c r="AL362" s="17" t="s">
        <v>94</v>
      </c>
      <c r="AM362" s="17" t="s">
        <v>94</v>
      </c>
      <c r="AN362" s="17" t="s">
        <v>94</v>
      </c>
      <c r="AO362" s="17" t="s">
        <v>98</v>
      </c>
      <c r="AP362" s="17" t="s">
        <v>98</v>
      </c>
      <c r="AQ362" s="17" t="s">
        <v>98</v>
      </c>
      <c r="AR362" s="17" t="s">
        <v>94</v>
      </c>
      <c r="AS362" s="17" t="s">
        <v>4355</v>
      </c>
      <c r="AT362" s="17"/>
      <c r="AU362" s="30" t="s">
        <v>4356</v>
      </c>
      <c r="AV362" s="14">
        <v>7592</v>
      </c>
      <c r="AW362" s="74"/>
      <c r="AX362" s="1"/>
      <c r="AY362" s="17" t="s">
        <v>101</v>
      </c>
    </row>
    <row r="363" spans="1:51" ht="12.75" customHeight="1" x14ac:dyDescent="0.25">
      <c r="A363" s="5">
        <v>360</v>
      </c>
      <c r="B363" s="9">
        <v>360</v>
      </c>
      <c r="C363" s="9" t="s">
        <v>4357</v>
      </c>
      <c r="D363" s="57" t="str">
        <f>HYPERLINK("http://prodenv.dep.state.fl.us/DepNexus/public/electronic-documents/OG_360/facility!search","OG_360_Docs")</f>
        <v>OG_360_Docs</v>
      </c>
      <c r="E363" s="57" t="str">
        <f>HYPERLINK("https://ca.dep.state.fl.us/mapdirect/?focus=oilandgas&amp;zoom=query&amp;querytype=oilandgas&amp;queryvalues=OG_360","OG_360_Map")</f>
        <v>OG_360_Map</v>
      </c>
      <c r="F363" s="1" t="s">
        <v>1752</v>
      </c>
      <c r="G363" s="1" t="s">
        <v>3668</v>
      </c>
      <c r="H363" s="1" t="s">
        <v>3669</v>
      </c>
      <c r="I363" s="1" t="s">
        <v>4358</v>
      </c>
      <c r="J363" s="17" t="s">
        <v>82</v>
      </c>
      <c r="K363" s="17" t="s">
        <v>83</v>
      </c>
      <c r="L363" s="17"/>
      <c r="M363" s="17"/>
      <c r="N363" s="52" t="s">
        <v>3688</v>
      </c>
      <c r="O363" s="17" t="s">
        <v>86</v>
      </c>
      <c r="P363" s="17" t="s">
        <v>86</v>
      </c>
      <c r="Q363" s="81" t="s">
        <v>4359</v>
      </c>
      <c r="R363" s="11">
        <v>26.525642000000001</v>
      </c>
      <c r="S363" s="11">
        <v>-81.416573999999997</v>
      </c>
      <c r="T363" s="11" t="s">
        <v>4360</v>
      </c>
      <c r="U363" s="11" t="s">
        <v>4361</v>
      </c>
      <c r="V363" s="17" t="s">
        <v>4362</v>
      </c>
      <c r="W363" s="17" t="s">
        <v>110</v>
      </c>
      <c r="X363" s="70">
        <v>51</v>
      </c>
      <c r="Y363" s="70">
        <v>35</v>
      </c>
      <c r="Z363" s="13">
        <v>24132</v>
      </c>
      <c r="AA363" s="13">
        <v>24085</v>
      </c>
      <c r="AB363" s="13"/>
      <c r="AC363" s="13">
        <v>24116</v>
      </c>
      <c r="AD363" s="86">
        <v>11640</v>
      </c>
      <c r="AE363" s="86">
        <v>11640</v>
      </c>
      <c r="AF363" s="70" t="s">
        <v>4217</v>
      </c>
      <c r="AG363" s="17" t="s">
        <v>4363</v>
      </c>
      <c r="AH363" s="17" t="s">
        <v>4364</v>
      </c>
      <c r="AI363" s="70" t="s">
        <v>94</v>
      </c>
      <c r="AJ363" s="17" t="s">
        <v>94</v>
      </c>
      <c r="AK363" s="17" t="s">
        <v>95</v>
      </c>
      <c r="AL363" s="17" t="s">
        <v>94</v>
      </c>
      <c r="AM363" s="17" t="s">
        <v>95</v>
      </c>
      <c r="AN363" s="17" t="s">
        <v>4365</v>
      </c>
      <c r="AO363" s="17" t="s">
        <v>98</v>
      </c>
      <c r="AP363" s="17" t="s">
        <v>98</v>
      </c>
      <c r="AQ363" s="17" t="s">
        <v>98</v>
      </c>
      <c r="AR363" s="17" t="s">
        <v>94</v>
      </c>
      <c r="AS363" s="17" t="s">
        <v>4366</v>
      </c>
      <c r="AT363" s="17">
        <v>187</v>
      </c>
      <c r="AU363" s="30" t="s">
        <v>4367</v>
      </c>
      <c r="AV363" s="14">
        <v>7576</v>
      </c>
      <c r="AW363" s="74"/>
      <c r="AX363" s="1"/>
      <c r="AY363" s="17" t="s">
        <v>101</v>
      </c>
    </row>
    <row r="364" spans="1:51" ht="12.75" customHeight="1" x14ac:dyDescent="0.25">
      <c r="A364" s="5">
        <v>361</v>
      </c>
      <c r="B364" s="9">
        <v>361</v>
      </c>
      <c r="C364" s="9" t="s">
        <v>4368</v>
      </c>
      <c r="D364" s="57" t="str">
        <f>HYPERLINK("http://prodenv.dep.state.fl.us/DepNexus/public/electronic-documents/OG_361/facility!search","OG_361_Docs")</f>
        <v>OG_361_Docs</v>
      </c>
      <c r="E364" s="57" t="str">
        <f>HYPERLINK("https://ca.dep.state.fl.us/mapdirect/?focus=oilandgas&amp;zoom=query&amp;querytype=oilandgas&amp;queryvalues=OG_361","OG_361_Map")</f>
        <v>OG_361_Map</v>
      </c>
      <c r="F364" s="1" t="s">
        <v>265</v>
      </c>
      <c r="G364" s="1" t="s">
        <v>79</v>
      </c>
      <c r="H364" s="1" t="s">
        <v>128</v>
      </c>
      <c r="I364" s="1" t="s">
        <v>4369</v>
      </c>
      <c r="J364" s="17" t="s">
        <v>82</v>
      </c>
      <c r="K364" s="17" t="s">
        <v>83</v>
      </c>
      <c r="L364" s="17"/>
      <c r="M364" s="17"/>
      <c r="N364" s="52" t="s">
        <v>3956</v>
      </c>
      <c r="O364" s="17" t="s">
        <v>86</v>
      </c>
      <c r="P364" s="17" t="s">
        <v>86</v>
      </c>
      <c r="Q364" s="81" t="s">
        <v>4370</v>
      </c>
      <c r="R364" s="11">
        <v>26.487583999999998</v>
      </c>
      <c r="S364" s="11">
        <v>-81.343557000000004</v>
      </c>
      <c r="T364" s="11" t="s">
        <v>4371</v>
      </c>
      <c r="U364" s="11" t="s">
        <v>4372</v>
      </c>
      <c r="V364" s="17" t="s">
        <v>4373</v>
      </c>
      <c r="W364" s="17" t="s">
        <v>110</v>
      </c>
      <c r="X364" s="70">
        <v>48</v>
      </c>
      <c r="Y364" s="70">
        <v>32</v>
      </c>
      <c r="Z364" s="13">
        <v>24111</v>
      </c>
      <c r="AA364" s="13">
        <v>24128</v>
      </c>
      <c r="AB364" s="13">
        <v>24151</v>
      </c>
      <c r="AC364" s="13">
        <v>24300</v>
      </c>
      <c r="AD364" s="86">
        <v>11700</v>
      </c>
      <c r="AE364" s="86">
        <v>11700</v>
      </c>
      <c r="AF364" s="70" t="s">
        <v>4374</v>
      </c>
      <c r="AG364" s="17" t="s">
        <v>4218</v>
      </c>
      <c r="AH364" s="17" t="s">
        <v>4375</v>
      </c>
      <c r="AI364" s="70" t="s">
        <v>94</v>
      </c>
      <c r="AJ364" s="17" t="s">
        <v>94</v>
      </c>
      <c r="AK364" s="17" t="s">
        <v>95</v>
      </c>
      <c r="AL364" s="17" t="s">
        <v>94</v>
      </c>
      <c r="AM364" s="17" t="s">
        <v>94</v>
      </c>
      <c r="AN364" s="17" t="s">
        <v>94</v>
      </c>
      <c r="AO364" s="17" t="s">
        <v>98</v>
      </c>
      <c r="AP364" s="17" t="s">
        <v>98</v>
      </c>
      <c r="AQ364" s="17" t="s">
        <v>98</v>
      </c>
      <c r="AR364" s="17" t="s">
        <v>94</v>
      </c>
      <c r="AS364" s="17" t="s">
        <v>4376</v>
      </c>
      <c r="AT364" s="17"/>
      <c r="AU364" s="30" t="s">
        <v>4377</v>
      </c>
      <c r="AV364" s="14">
        <v>7656</v>
      </c>
      <c r="AW364" s="74"/>
      <c r="AX364" s="1"/>
      <c r="AY364" s="17" t="s">
        <v>101</v>
      </c>
    </row>
    <row r="365" spans="1:51" ht="12.75" customHeight="1" x14ac:dyDescent="0.25">
      <c r="A365" s="5">
        <v>362</v>
      </c>
      <c r="B365" s="9">
        <v>362</v>
      </c>
      <c r="C365" s="9" t="s">
        <v>4378</v>
      </c>
      <c r="D365" s="57" t="str">
        <f>HYPERLINK("http://prodenv.dep.state.fl.us/DepNexus/public/electronic-documents/OG_362/facility!search","OG_362_Docs")</f>
        <v>OG_362_Docs</v>
      </c>
      <c r="E365" s="57" t="str">
        <f>HYPERLINK("https://ca.dep.state.fl.us/mapdirect/?focus=oilandgas&amp;zoom=query&amp;querytype=oilandgas&amp;queryvalues=OG_362","OG_362_Map")</f>
        <v>OG_362_Map</v>
      </c>
      <c r="F365" s="1" t="s">
        <v>1752</v>
      </c>
      <c r="G365" s="1" t="s">
        <v>79</v>
      </c>
      <c r="H365" s="1" t="s">
        <v>4292</v>
      </c>
      <c r="I365" s="1" t="s">
        <v>4379</v>
      </c>
      <c r="J365" s="17" t="s">
        <v>82</v>
      </c>
      <c r="K365" s="17" t="s">
        <v>83</v>
      </c>
      <c r="L365" s="17" t="s">
        <v>101</v>
      </c>
      <c r="M365" s="17"/>
      <c r="N365" s="52" t="s">
        <v>3193</v>
      </c>
      <c r="O365" s="17" t="s">
        <v>86</v>
      </c>
      <c r="P365" s="17" t="s">
        <v>86</v>
      </c>
      <c r="Q365" s="81" t="s">
        <v>4380</v>
      </c>
      <c r="R365" s="11">
        <v>26.693259999999999</v>
      </c>
      <c r="S365" s="11">
        <v>-81.507714000000007</v>
      </c>
      <c r="T365" s="11" t="s">
        <v>4381</v>
      </c>
      <c r="U365" s="11" t="s">
        <v>4382</v>
      </c>
      <c r="V365" s="17" t="s">
        <v>4383</v>
      </c>
      <c r="W365" s="17" t="s">
        <v>110</v>
      </c>
      <c r="X365" s="70">
        <v>40</v>
      </c>
      <c r="Y365" s="70">
        <v>24</v>
      </c>
      <c r="Z365" s="13">
        <v>24111</v>
      </c>
      <c r="AA365" s="13">
        <v>24106</v>
      </c>
      <c r="AB365" s="13">
        <v>24135</v>
      </c>
      <c r="AC365" s="13">
        <v>24136</v>
      </c>
      <c r="AD365" s="86">
        <v>11348</v>
      </c>
      <c r="AE365" s="86">
        <v>11348</v>
      </c>
      <c r="AF365" s="70" t="s">
        <v>4384</v>
      </c>
      <c r="AG365" s="17" t="s">
        <v>4385</v>
      </c>
      <c r="AH365" s="17" t="s">
        <v>4386</v>
      </c>
      <c r="AI365" s="70" t="s">
        <v>94</v>
      </c>
      <c r="AJ365" s="17" t="s">
        <v>94</v>
      </c>
      <c r="AK365" s="17" t="s">
        <v>95</v>
      </c>
      <c r="AL365" s="17" t="s">
        <v>94</v>
      </c>
      <c r="AM365" s="17" t="s">
        <v>94</v>
      </c>
      <c r="AN365" s="17" t="s">
        <v>4387</v>
      </c>
      <c r="AO365" s="17" t="s">
        <v>98</v>
      </c>
      <c r="AP365" s="17" t="s">
        <v>98</v>
      </c>
      <c r="AQ365" s="17" t="s">
        <v>98</v>
      </c>
      <c r="AR365" s="17" t="s">
        <v>94</v>
      </c>
      <c r="AS365" s="17" t="s">
        <v>4388</v>
      </c>
      <c r="AT365" s="17">
        <v>186</v>
      </c>
      <c r="AU365" s="30" t="s">
        <v>4389</v>
      </c>
      <c r="AV365" s="14">
        <v>7660</v>
      </c>
      <c r="AW365" s="74"/>
      <c r="AX365" s="1"/>
      <c r="AY365" s="17" t="s">
        <v>101</v>
      </c>
    </row>
    <row r="366" spans="1:51" ht="12.75" customHeight="1" x14ac:dyDescent="0.25">
      <c r="A366" s="5">
        <v>363</v>
      </c>
      <c r="B366" s="9">
        <v>363</v>
      </c>
      <c r="C366" s="9" t="s">
        <v>4390</v>
      </c>
      <c r="D366" s="57" t="str">
        <f>HYPERLINK("http://prodenv.dep.state.fl.us/DepNexus/public/electronic-documents/OG_363/facility!search","OG_363_Docs")</f>
        <v>OG_363_Docs</v>
      </c>
      <c r="E366" s="57" t="str">
        <f>HYPERLINK("https://ca.dep.state.fl.us/mapdirect/?focus=oilandgas&amp;zoom=query&amp;querytype=oilandgas&amp;queryvalues=OG_363","OG_363_Map")</f>
        <v>OG_363_Map</v>
      </c>
      <c r="F366" s="1" t="s">
        <v>1752</v>
      </c>
      <c r="G366" s="1" t="s">
        <v>3668</v>
      </c>
      <c r="H366" s="1" t="s">
        <v>3669</v>
      </c>
      <c r="I366" s="1" t="s">
        <v>4391</v>
      </c>
      <c r="J366" s="17" t="s">
        <v>268</v>
      </c>
      <c r="K366" s="17" t="s">
        <v>412</v>
      </c>
      <c r="L366" s="17"/>
      <c r="M366" s="17"/>
      <c r="N366" s="52" t="s">
        <v>3688</v>
      </c>
      <c r="O366" s="17" t="s">
        <v>86</v>
      </c>
      <c r="P366" s="17" t="s">
        <v>86</v>
      </c>
      <c r="Q366" s="81" t="s">
        <v>4392</v>
      </c>
      <c r="R366" s="11">
        <v>26.546392999999998</v>
      </c>
      <c r="S366" s="11">
        <v>-81.470601000000002</v>
      </c>
      <c r="T366" s="11" t="s">
        <v>4393</v>
      </c>
      <c r="U366" s="11" t="s">
        <v>4394</v>
      </c>
      <c r="V366" s="17" t="s">
        <v>4395</v>
      </c>
      <c r="W366" s="17" t="s">
        <v>110</v>
      </c>
      <c r="X366" s="70">
        <v>47</v>
      </c>
      <c r="Y366" s="70">
        <v>35</v>
      </c>
      <c r="Z366" s="13">
        <v>24118</v>
      </c>
      <c r="AA366" s="13">
        <v>24111</v>
      </c>
      <c r="AB366" s="13">
        <v>24159</v>
      </c>
      <c r="AC366" s="13">
        <v>28201</v>
      </c>
      <c r="AD366" s="86">
        <v>11545</v>
      </c>
      <c r="AE366" s="86">
        <v>11545</v>
      </c>
      <c r="AF366" s="70" t="s">
        <v>4396</v>
      </c>
      <c r="AG366" s="17" t="s">
        <v>4397</v>
      </c>
      <c r="AH366" s="17" t="s">
        <v>4398</v>
      </c>
      <c r="AI366" s="70" t="s">
        <v>4399</v>
      </c>
      <c r="AJ366" s="17" t="s">
        <v>4400</v>
      </c>
      <c r="AK366" s="17" t="s">
        <v>95</v>
      </c>
      <c r="AL366" s="17" t="s">
        <v>94</v>
      </c>
      <c r="AM366" s="17" t="s">
        <v>94</v>
      </c>
      <c r="AN366" s="17" t="s">
        <v>4401</v>
      </c>
      <c r="AO366" s="17" t="s">
        <v>4402</v>
      </c>
      <c r="AP366" s="17" t="s">
        <v>4403</v>
      </c>
      <c r="AQ366" s="17" t="s">
        <v>4404</v>
      </c>
      <c r="AR366" s="17" t="s">
        <v>4405</v>
      </c>
      <c r="AS366" s="17" t="s">
        <v>4406</v>
      </c>
      <c r="AT366" s="17"/>
      <c r="AU366" s="30" t="s">
        <v>4407</v>
      </c>
      <c r="AV366" s="14">
        <v>7591</v>
      </c>
      <c r="AW366" s="74"/>
      <c r="AX366" s="1"/>
      <c r="AY366" s="17" t="s">
        <v>101</v>
      </c>
    </row>
    <row r="367" spans="1:51" ht="15" customHeight="1" x14ac:dyDescent="0.25">
      <c r="A367" s="5">
        <v>364</v>
      </c>
      <c r="B367" s="9">
        <v>364</v>
      </c>
      <c r="C367" s="9" t="s">
        <v>4408</v>
      </c>
      <c r="D367" s="57" t="str">
        <f>HYPERLINK("http://prodenv.dep.state.fl.us/DepNexus/public/electronic-documents/OG_364/facility!search","OG_364_Docs")</f>
        <v>OG_364_Docs</v>
      </c>
      <c r="E367" s="57" t="str">
        <f>HYPERLINK("https://ca.dep.state.fl.us/mapdirect/?focus=oilandgas&amp;zoom=query&amp;querytype=oilandgas&amp;queryvalues=OG_364","OG_364_Map")</f>
        <v>OG_364_Map</v>
      </c>
      <c r="F367" s="1" t="s">
        <v>2831</v>
      </c>
      <c r="G367" s="1" t="s">
        <v>79</v>
      </c>
      <c r="H367" s="1" t="s">
        <v>128</v>
      </c>
      <c r="I367" s="1" t="s">
        <v>4409</v>
      </c>
      <c r="J367" s="17" t="s">
        <v>82</v>
      </c>
      <c r="K367" s="17" t="s">
        <v>83</v>
      </c>
      <c r="L367" s="17"/>
      <c r="M367" s="17" t="s">
        <v>101</v>
      </c>
      <c r="N367" s="52" t="s">
        <v>3956</v>
      </c>
      <c r="O367" s="17" t="s">
        <v>86</v>
      </c>
      <c r="P367" s="17" t="s">
        <v>86</v>
      </c>
      <c r="Q367" s="81" t="s">
        <v>4410</v>
      </c>
      <c r="R367" s="11">
        <v>27.622619</v>
      </c>
      <c r="S367" s="11">
        <v>-80.954329999999999</v>
      </c>
      <c r="T367" s="11" t="s">
        <v>4411</v>
      </c>
      <c r="U367" s="11" t="s">
        <v>4412</v>
      </c>
      <c r="V367" s="17" t="s">
        <v>4413</v>
      </c>
      <c r="W367" s="17" t="s">
        <v>110</v>
      </c>
      <c r="X367" s="70">
        <v>88</v>
      </c>
      <c r="Y367" s="70">
        <v>69</v>
      </c>
      <c r="Z367" s="13">
        <v>24125</v>
      </c>
      <c r="AA367" s="13">
        <v>24128</v>
      </c>
      <c r="AB367" s="13">
        <v>24161</v>
      </c>
      <c r="AC367" s="13">
        <v>24277</v>
      </c>
      <c r="AD367" s="86">
        <v>9840</v>
      </c>
      <c r="AE367" s="86">
        <v>9840</v>
      </c>
      <c r="AF367" s="70" t="s">
        <v>4414</v>
      </c>
      <c r="AG367" s="17" t="s">
        <v>4415</v>
      </c>
      <c r="AH367" s="17" t="s">
        <v>4416</v>
      </c>
      <c r="AI367" s="70" t="s">
        <v>94</v>
      </c>
      <c r="AJ367" s="17" t="s">
        <v>94</v>
      </c>
      <c r="AK367" s="17" t="s">
        <v>95</v>
      </c>
      <c r="AL367" s="17" t="s">
        <v>94</v>
      </c>
      <c r="AM367" s="17" t="s">
        <v>94</v>
      </c>
      <c r="AN367" s="17" t="s">
        <v>94</v>
      </c>
      <c r="AO367" s="17" t="s">
        <v>98</v>
      </c>
      <c r="AP367" s="17" t="s">
        <v>98</v>
      </c>
      <c r="AQ367" s="17" t="s">
        <v>98</v>
      </c>
      <c r="AR367" s="17" t="s">
        <v>94</v>
      </c>
      <c r="AS367" s="17" t="s">
        <v>4417</v>
      </c>
      <c r="AT367" s="17">
        <v>82</v>
      </c>
      <c r="AU367" s="30" t="s">
        <v>4418</v>
      </c>
      <c r="AV367" s="14">
        <v>7659</v>
      </c>
      <c r="AW367" s="74"/>
      <c r="AX367" s="1"/>
      <c r="AY367" s="17" t="s">
        <v>101</v>
      </c>
    </row>
    <row r="368" spans="1:51" ht="12.75" customHeight="1" x14ac:dyDescent="0.25">
      <c r="A368" s="5">
        <v>365</v>
      </c>
      <c r="B368" s="9">
        <v>365</v>
      </c>
      <c r="C368" s="9" t="s">
        <v>4419</v>
      </c>
      <c r="D368" s="57" t="str">
        <f>HYPERLINK("http://prodenv.dep.state.fl.us/DepNexus/public/electronic-documents/OG_365/facility!search","OG_365_Docs")</f>
        <v>OG_365_Docs</v>
      </c>
      <c r="E368" s="57" t="str">
        <f>HYPERLINK("https://ca.dep.state.fl.us/mapdirect/?focus=oilandgas&amp;zoom=query&amp;querytype=oilandgas&amp;queryvalues=OG_365","OG_365_Map")</f>
        <v>OG_365_Map</v>
      </c>
      <c r="F368" s="1" t="s">
        <v>265</v>
      </c>
      <c r="G368" s="1" t="s">
        <v>79</v>
      </c>
      <c r="H368" s="1" t="s">
        <v>4420</v>
      </c>
      <c r="I368" s="1" t="s">
        <v>4421</v>
      </c>
      <c r="J368" s="17" t="s">
        <v>82</v>
      </c>
      <c r="K368" s="17" t="s">
        <v>83</v>
      </c>
      <c r="L368" s="17" t="s">
        <v>101</v>
      </c>
      <c r="M368" s="17" t="s">
        <v>101</v>
      </c>
      <c r="N368" s="52" t="s">
        <v>3688</v>
      </c>
      <c r="O368" s="17" t="s">
        <v>270</v>
      </c>
      <c r="P368" s="17" t="s">
        <v>86</v>
      </c>
      <c r="Q368" s="81" t="s">
        <v>4422</v>
      </c>
      <c r="R368" s="11">
        <v>26.295469000000001</v>
      </c>
      <c r="S368" s="11">
        <v>-81.514540999999994</v>
      </c>
      <c r="T368" s="11" t="s">
        <v>4423</v>
      </c>
      <c r="U368" s="11" t="s">
        <v>4424</v>
      </c>
      <c r="V368" s="17" t="s">
        <v>4425</v>
      </c>
      <c r="W368" s="17" t="s">
        <v>110</v>
      </c>
      <c r="X368" s="70">
        <v>35</v>
      </c>
      <c r="Y368" s="70">
        <v>18</v>
      </c>
      <c r="Z368" s="13">
        <v>24132</v>
      </c>
      <c r="AA368" s="13">
        <v>24145</v>
      </c>
      <c r="AB368" s="13">
        <v>24244</v>
      </c>
      <c r="AC368" s="13">
        <v>24251</v>
      </c>
      <c r="AD368" s="86">
        <v>13345</v>
      </c>
      <c r="AE368" s="86">
        <v>13345</v>
      </c>
      <c r="AF368" s="70" t="s">
        <v>4426</v>
      </c>
      <c r="AG368" s="17" t="s">
        <v>4427</v>
      </c>
      <c r="AH368" s="17" t="s">
        <v>4428</v>
      </c>
      <c r="AI368" s="70" t="s">
        <v>94</v>
      </c>
      <c r="AJ368" s="17" t="s">
        <v>94</v>
      </c>
      <c r="AK368" s="17" t="s">
        <v>95</v>
      </c>
      <c r="AL368" s="17" t="s">
        <v>94</v>
      </c>
      <c r="AM368" s="17" t="s">
        <v>94</v>
      </c>
      <c r="AN368" s="17" t="s">
        <v>94</v>
      </c>
      <c r="AO368" s="17" t="s">
        <v>98</v>
      </c>
      <c r="AP368" s="17" t="s">
        <v>98</v>
      </c>
      <c r="AQ368" s="17" t="s">
        <v>98</v>
      </c>
      <c r="AR368" s="17" t="s">
        <v>94</v>
      </c>
      <c r="AS368" s="17" t="s">
        <v>4429</v>
      </c>
      <c r="AT368" s="17"/>
      <c r="AU368" s="30" t="s">
        <v>4430</v>
      </c>
      <c r="AV368" s="14">
        <v>7661</v>
      </c>
      <c r="AW368" s="74"/>
      <c r="AX368" s="1" t="s">
        <v>4431</v>
      </c>
      <c r="AY368" s="17" t="s">
        <v>101</v>
      </c>
    </row>
    <row r="369" spans="1:51" ht="12.75" customHeight="1" x14ac:dyDescent="0.25">
      <c r="A369" s="5">
        <v>366</v>
      </c>
      <c r="B369" s="9">
        <v>366</v>
      </c>
      <c r="C369" s="9" t="s">
        <v>4432</v>
      </c>
      <c r="D369" s="57" t="str">
        <f>HYPERLINK("http://prodenv.dep.state.fl.us/DepNexus/public/electronic-documents/OG_366/facility!search","OG_366_Docs")</f>
        <v>OG_366_Docs</v>
      </c>
      <c r="E369" s="57" t="str">
        <f>HYPERLINK("https://ca.dep.state.fl.us/mapdirect/?focus=oilandgas&amp;zoom=query&amp;querytype=oilandgas&amp;queryvalues=OG_366","OG_366_Map")</f>
        <v>OG_366_Map</v>
      </c>
      <c r="F369" s="1" t="s">
        <v>1752</v>
      </c>
      <c r="G369" s="1" t="s">
        <v>3668</v>
      </c>
      <c r="H369" s="1" t="s">
        <v>3669</v>
      </c>
      <c r="I369" s="1" t="s">
        <v>4433</v>
      </c>
      <c r="J369" s="17" t="s">
        <v>82</v>
      </c>
      <c r="K369" s="17" t="s">
        <v>83</v>
      </c>
      <c r="L369" s="17"/>
      <c r="M369" s="17"/>
      <c r="N369" s="52" t="s">
        <v>4434</v>
      </c>
      <c r="O369" s="17" t="s">
        <v>86</v>
      </c>
      <c r="P369" s="17" t="s">
        <v>86</v>
      </c>
      <c r="Q369" s="81" t="s">
        <v>4435</v>
      </c>
      <c r="R369" s="11">
        <v>26.56297</v>
      </c>
      <c r="S369" s="11">
        <v>-81.449895999999995</v>
      </c>
      <c r="T369" s="11" t="s">
        <v>4436</v>
      </c>
      <c r="U369" s="11" t="s">
        <v>4437</v>
      </c>
      <c r="V369" s="17" t="s">
        <v>4438</v>
      </c>
      <c r="W369" s="17" t="s">
        <v>110</v>
      </c>
      <c r="X369" s="70">
        <v>51</v>
      </c>
      <c r="Y369" s="70">
        <v>34</v>
      </c>
      <c r="Z369" s="13">
        <v>24153</v>
      </c>
      <c r="AA369" s="13">
        <v>24157</v>
      </c>
      <c r="AB369" s="13">
        <v>24181</v>
      </c>
      <c r="AC369" s="13">
        <v>24190</v>
      </c>
      <c r="AD369" s="86">
        <v>11546</v>
      </c>
      <c r="AE369" s="86">
        <v>11546</v>
      </c>
      <c r="AF369" s="70" t="s">
        <v>4439</v>
      </c>
      <c r="AG369" s="17" t="s">
        <v>4188</v>
      </c>
      <c r="AH369" s="17" t="s">
        <v>4440</v>
      </c>
      <c r="AI369" s="70" t="s">
        <v>94</v>
      </c>
      <c r="AJ369" s="17" t="s">
        <v>94</v>
      </c>
      <c r="AK369" s="17" t="s">
        <v>95</v>
      </c>
      <c r="AL369" s="17" t="s">
        <v>94</v>
      </c>
      <c r="AM369" s="17" t="s">
        <v>94</v>
      </c>
      <c r="AN369" s="17" t="s">
        <v>94</v>
      </c>
      <c r="AO369" s="17" t="s">
        <v>98</v>
      </c>
      <c r="AP369" s="17" t="s">
        <v>98</v>
      </c>
      <c r="AQ369" s="17" t="s">
        <v>98</v>
      </c>
      <c r="AR369" s="17" t="s">
        <v>94</v>
      </c>
      <c r="AS369" s="17" t="s">
        <v>4441</v>
      </c>
      <c r="AT369" s="17"/>
      <c r="AU369" s="30" t="s">
        <v>4442</v>
      </c>
      <c r="AV369" s="14">
        <v>7657</v>
      </c>
      <c r="AW369" s="74"/>
      <c r="AX369" s="1"/>
      <c r="AY369" s="17" t="s">
        <v>101</v>
      </c>
    </row>
    <row r="370" spans="1:51" ht="12.75" customHeight="1" x14ac:dyDescent="0.25">
      <c r="A370" s="5">
        <v>367</v>
      </c>
      <c r="B370" s="9">
        <v>367</v>
      </c>
      <c r="C370" s="9" t="s">
        <v>4443</v>
      </c>
      <c r="D370" s="57" t="str">
        <f>HYPERLINK("http://prodenv.dep.state.fl.us/DepNexus/public/electronic-documents/OG_367/facility!search","OG_367_Docs")</f>
        <v>OG_367_Docs</v>
      </c>
      <c r="E370" s="57" t="str">
        <f>HYPERLINK("https://ca.dep.state.fl.us/mapdirect/?focus=oilandgas&amp;zoom=query&amp;querytype=oilandgas&amp;queryvalues=OG_367","OG_367_Map")</f>
        <v>OG_367_Map</v>
      </c>
      <c r="F370" s="1" t="s">
        <v>1752</v>
      </c>
      <c r="G370" s="1" t="s">
        <v>79</v>
      </c>
      <c r="H370" s="1" t="s">
        <v>128</v>
      </c>
      <c r="I370" s="1" t="s">
        <v>4444</v>
      </c>
      <c r="J370" s="17" t="s">
        <v>82</v>
      </c>
      <c r="K370" s="17" t="s">
        <v>83</v>
      </c>
      <c r="L370" s="17"/>
      <c r="M370" s="17"/>
      <c r="N370" s="52" t="s">
        <v>3688</v>
      </c>
      <c r="O370" s="17" t="s">
        <v>86</v>
      </c>
      <c r="P370" s="17" t="s">
        <v>86</v>
      </c>
      <c r="Q370" s="81" t="s">
        <v>4445</v>
      </c>
      <c r="R370" s="11">
        <v>26.534834</v>
      </c>
      <c r="S370" s="11">
        <v>-81.222538</v>
      </c>
      <c r="T370" s="11" t="s">
        <v>4446</v>
      </c>
      <c r="U370" s="11" t="s">
        <v>4447</v>
      </c>
      <c r="V370" s="17" t="s">
        <v>4448</v>
      </c>
      <c r="W370" s="17" t="s">
        <v>110</v>
      </c>
      <c r="X370" s="70">
        <v>48</v>
      </c>
      <c r="Y370" s="70">
        <v>30</v>
      </c>
      <c r="Z370" s="13">
        <v>24181</v>
      </c>
      <c r="AA370" s="13">
        <v>24187</v>
      </c>
      <c r="AB370" s="13">
        <v>24301</v>
      </c>
      <c r="AC370" s="13">
        <v>24301</v>
      </c>
      <c r="AD370" s="86">
        <v>11575</v>
      </c>
      <c r="AE370" s="86">
        <v>11575</v>
      </c>
      <c r="AF370" s="70" t="s">
        <v>4259</v>
      </c>
      <c r="AG370" s="17" t="s">
        <v>4449</v>
      </c>
      <c r="AH370" s="17" t="s">
        <v>4450</v>
      </c>
      <c r="AI370" s="70" t="s">
        <v>94</v>
      </c>
      <c r="AJ370" s="17" t="s">
        <v>94</v>
      </c>
      <c r="AK370" s="17" t="s">
        <v>95</v>
      </c>
      <c r="AL370" s="17" t="s">
        <v>4451</v>
      </c>
      <c r="AM370" s="17" t="s">
        <v>95</v>
      </c>
      <c r="AN370" s="17" t="s">
        <v>94</v>
      </c>
      <c r="AO370" s="17" t="s">
        <v>98</v>
      </c>
      <c r="AP370" s="17" t="s">
        <v>98</v>
      </c>
      <c r="AQ370" s="17" t="s">
        <v>98</v>
      </c>
      <c r="AR370" s="17" t="s">
        <v>94</v>
      </c>
      <c r="AS370" s="17" t="s">
        <v>4452</v>
      </c>
      <c r="AT370" s="17"/>
      <c r="AU370" s="30" t="s">
        <v>4453</v>
      </c>
      <c r="AV370" s="14">
        <v>7703</v>
      </c>
      <c r="AW370" s="74"/>
      <c r="AX370" s="1"/>
      <c r="AY370" s="17" t="s">
        <v>101</v>
      </c>
    </row>
    <row r="371" spans="1:51" ht="12.75" customHeight="1" x14ac:dyDescent="0.25">
      <c r="A371" s="5">
        <v>368</v>
      </c>
      <c r="B371" s="9">
        <v>368</v>
      </c>
      <c r="C371" s="9" t="s">
        <v>4454</v>
      </c>
      <c r="D371" s="57" t="str">
        <f>HYPERLINK("http://prodenv.dep.state.fl.us/DepNexus/public/electronic-documents/OG_368/facility!search","OG_368_Docs")</f>
        <v>OG_368_Docs</v>
      </c>
      <c r="E371" s="57" t="str">
        <f>HYPERLINK("https://ca.dep.state.fl.us/mapdirect/?focus=oilandgas&amp;zoom=query&amp;querytype=oilandgas&amp;queryvalues=OG_368","OG_368_Map")</f>
        <v>OG_368_Map</v>
      </c>
      <c r="F371" s="1" t="s">
        <v>265</v>
      </c>
      <c r="G371" s="1" t="s">
        <v>79</v>
      </c>
      <c r="H371" s="1" t="s">
        <v>4420</v>
      </c>
      <c r="I371" s="1" t="s">
        <v>4455</v>
      </c>
      <c r="J371" s="17" t="s">
        <v>82</v>
      </c>
      <c r="K371" s="17" t="s">
        <v>83</v>
      </c>
      <c r="L371" s="17" t="s">
        <v>101</v>
      </c>
      <c r="M371" s="17"/>
      <c r="N371" s="52" t="s">
        <v>86</v>
      </c>
      <c r="O371" s="17" t="s">
        <v>270</v>
      </c>
      <c r="P371" s="17" t="s">
        <v>86</v>
      </c>
      <c r="Q371" s="81" t="s">
        <v>4456</v>
      </c>
      <c r="R371" s="11">
        <v>26.273268000000002</v>
      </c>
      <c r="S371" s="11">
        <v>-81.515264999999999</v>
      </c>
      <c r="T371" s="11" t="s">
        <v>4457</v>
      </c>
      <c r="U371" s="11" t="s">
        <v>4458</v>
      </c>
      <c r="V371" s="17" t="s">
        <v>4459</v>
      </c>
      <c r="W371" s="17" t="s">
        <v>110</v>
      </c>
      <c r="X371" s="70">
        <v>33</v>
      </c>
      <c r="Y371" s="70">
        <v>16</v>
      </c>
      <c r="Z371" s="13">
        <v>24181</v>
      </c>
      <c r="AA371" s="13">
        <v>24181</v>
      </c>
      <c r="AB371" s="13">
        <v>24225</v>
      </c>
      <c r="AC371" s="13">
        <v>24225</v>
      </c>
      <c r="AD371" s="86">
        <v>12167</v>
      </c>
      <c r="AE371" s="86">
        <v>12167</v>
      </c>
      <c r="AF371" s="70" t="s">
        <v>4460</v>
      </c>
      <c r="AG371" s="17" t="s">
        <v>4461</v>
      </c>
      <c r="AH371" s="17"/>
      <c r="AI371" s="70" t="s">
        <v>94</v>
      </c>
      <c r="AJ371" s="17" t="s">
        <v>94</v>
      </c>
      <c r="AK371" s="17" t="s">
        <v>95</v>
      </c>
      <c r="AL371" s="17" t="s">
        <v>94</v>
      </c>
      <c r="AM371" s="17" t="s">
        <v>94</v>
      </c>
      <c r="AN371" s="17" t="s">
        <v>4462</v>
      </c>
      <c r="AO371" s="17" t="s">
        <v>98</v>
      </c>
      <c r="AP371" s="17" t="s">
        <v>98</v>
      </c>
      <c r="AQ371" s="17" t="s">
        <v>98</v>
      </c>
      <c r="AR371" s="17" t="s">
        <v>94</v>
      </c>
      <c r="AS371" s="17" t="s">
        <v>4463</v>
      </c>
      <c r="AT371" s="17"/>
      <c r="AU371" s="30" t="s">
        <v>4464</v>
      </c>
      <c r="AV371" s="14">
        <v>8185</v>
      </c>
      <c r="AW371" s="74"/>
      <c r="AX371" s="1"/>
      <c r="AY371" s="17" t="s">
        <v>101</v>
      </c>
    </row>
    <row r="372" spans="1:51" ht="12.75" customHeight="1" x14ac:dyDescent="0.25">
      <c r="A372" s="5">
        <v>369</v>
      </c>
      <c r="B372" s="9">
        <v>369</v>
      </c>
      <c r="C372" s="9" t="s">
        <v>4465</v>
      </c>
      <c r="D372" s="57" t="str">
        <f>HYPERLINK("http://prodenv.dep.state.fl.us/DepNexus/public/electronic-documents/OG_369/facility!search","OG_369_Docs")</f>
        <v>OG_369_Docs</v>
      </c>
      <c r="E372" s="57" t="str">
        <f>HYPERLINK("https://ca.dep.state.fl.us/mapdirect/?focus=oilandgas&amp;zoom=query&amp;querytype=oilandgas&amp;queryvalues=OG_369","OG_369_Map")</f>
        <v>OG_369_Map</v>
      </c>
      <c r="F372" s="1" t="s">
        <v>1752</v>
      </c>
      <c r="G372" s="1" t="s">
        <v>3668</v>
      </c>
      <c r="H372" s="1" t="s">
        <v>3669</v>
      </c>
      <c r="I372" s="1" t="s">
        <v>4466</v>
      </c>
      <c r="J372" s="17" t="s">
        <v>268</v>
      </c>
      <c r="K372" s="17" t="s">
        <v>412</v>
      </c>
      <c r="L372" s="17"/>
      <c r="M372" s="17"/>
      <c r="N372" s="52" t="s">
        <v>3886</v>
      </c>
      <c r="O372" s="17" t="s">
        <v>86</v>
      </c>
      <c r="P372" s="17" t="s">
        <v>86</v>
      </c>
      <c r="Q372" s="81" t="s">
        <v>2066</v>
      </c>
      <c r="R372" s="11">
        <v>26.539071</v>
      </c>
      <c r="S372" s="11">
        <v>-81.470575999999994</v>
      </c>
      <c r="T372" s="11" t="s">
        <v>4467</v>
      </c>
      <c r="U372" s="11" t="s">
        <v>4468</v>
      </c>
      <c r="V372" s="17" t="s">
        <v>4469</v>
      </c>
      <c r="W372" s="17" t="s">
        <v>110</v>
      </c>
      <c r="X372" s="70">
        <v>53</v>
      </c>
      <c r="Y372" s="70">
        <v>36</v>
      </c>
      <c r="Z372" s="13">
        <v>24203</v>
      </c>
      <c r="AA372" s="13">
        <v>24218</v>
      </c>
      <c r="AB372" s="13">
        <v>24281</v>
      </c>
      <c r="AC372" s="13">
        <v>27003</v>
      </c>
      <c r="AD372" s="86">
        <v>11491</v>
      </c>
      <c r="AE372" s="86">
        <v>11491</v>
      </c>
      <c r="AF372" s="70" t="s">
        <v>3975</v>
      </c>
      <c r="AG372" s="17" t="s">
        <v>4470</v>
      </c>
      <c r="AH372" s="17" t="s">
        <v>4471</v>
      </c>
      <c r="AI372" s="70" t="s">
        <v>4472</v>
      </c>
      <c r="AJ372" s="17" t="s">
        <v>4473</v>
      </c>
      <c r="AK372" s="17" t="s">
        <v>95</v>
      </c>
      <c r="AL372" s="17" t="s">
        <v>94</v>
      </c>
      <c r="AM372" s="17" t="s">
        <v>94</v>
      </c>
      <c r="AN372" s="17" t="s">
        <v>4474</v>
      </c>
      <c r="AO372" s="17" t="s">
        <v>4475</v>
      </c>
      <c r="AP372" s="17" t="s">
        <v>4476</v>
      </c>
      <c r="AQ372" s="17" t="s">
        <v>4477</v>
      </c>
      <c r="AR372" s="17" t="s">
        <v>4478</v>
      </c>
      <c r="AS372" s="17" t="s">
        <v>4479</v>
      </c>
      <c r="AT372" s="17"/>
      <c r="AU372" s="30" t="s">
        <v>4480</v>
      </c>
      <c r="AV372" s="14">
        <v>7747</v>
      </c>
      <c r="AW372" s="74"/>
      <c r="AX372" s="1"/>
      <c r="AY372" s="17" t="s">
        <v>101</v>
      </c>
    </row>
    <row r="373" spans="1:51" ht="15" customHeight="1" x14ac:dyDescent="0.25">
      <c r="A373" s="5">
        <v>370</v>
      </c>
      <c r="B373" s="9">
        <v>370</v>
      </c>
      <c r="C373" s="9" t="s">
        <v>4481</v>
      </c>
      <c r="D373" s="57" t="str">
        <f>HYPERLINK("http://prodenv.dep.state.fl.us/DepNexus/public/electronic-documents/OG_370/facility!search","OG_370_Docs")</f>
        <v>OG_370_Docs</v>
      </c>
      <c r="E373" s="57" t="str">
        <f>HYPERLINK("https://ca.dep.state.fl.us/mapdirect/?focus=oilandgas&amp;zoom=query&amp;querytype=oilandgas&amp;queryvalues=OG_370","OG_370_Map")</f>
        <v>OG_370_Map</v>
      </c>
      <c r="F373" s="1" t="s">
        <v>1797</v>
      </c>
      <c r="G373" s="1" t="s">
        <v>79</v>
      </c>
      <c r="H373" s="1" t="s">
        <v>4482</v>
      </c>
      <c r="I373" s="1" t="s">
        <v>4483</v>
      </c>
      <c r="J373" s="17" t="s">
        <v>82</v>
      </c>
      <c r="K373" s="17" t="s">
        <v>83</v>
      </c>
      <c r="L373" s="17"/>
      <c r="M373" s="17"/>
      <c r="N373" s="52" t="s">
        <v>4484</v>
      </c>
      <c r="O373" s="17" t="s">
        <v>86</v>
      </c>
      <c r="P373" s="17" t="s">
        <v>86</v>
      </c>
      <c r="Q373" s="81" t="s">
        <v>4485</v>
      </c>
      <c r="R373" s="11">
        <v>30.898709</v>
      </c>
      <c r="S373" s="11">
        <v>-87.069777000000002</v>
      </c>
      <c r="T373" s="11" t="s">
        <v>4486</v>
      </c>
      <c r="U373" s="11" t="s">
        <v>4487</v>
      </c>
      <c r="V373" s="17" t="s">
        <v>4488</v>
      </c>
      <c r="W373" s="17" t="s">
        <v>110</v>
      </c>
      <c r="X373" s="70">
        <v>211</v>
      </c>
      <c r="Y373" s="70"/>
      <c r="Z373" s="13">
        <v>25763</v>
      </c>
      <c r="AA373" s="13">
        <v>25770</v>
      </c>
      <c r="AB373" s="13">
        <v>25818</v>
      </c>
      <c r="AC373" s="13">
        <v>25835</v>
      </c>
      <c r="AD373" s="86">
        <v>15935</v>
      </c>
      <c r="AE373" s="86">
        <v>15935</v>
      </c>
      <c r="AF373" s="70" t="s">
        <v>4489</v>
      </c>
      <c r="AG373" s="17" t="s">
        <v>4490</v>
      </c>
      <c r="AH373" s="17" t="s">
        <v>94</v>
      </c>
      <c r="AI373" s="70" t="s">
        <v>94</v>
      </c>
      <c r="AJ373" s="17" t="s">
        <v>94</v>
      </c>
      <c r="AK373" s="17" t="s">
        <v>95</v>
      </c>
      <c r="AL373" s="17" t="s">
        <v>94</v>
      </c>
      <c r="AM373" s="17" t="s">
        <v>94</v>
      </c>
      <c r="AN373" s="17" t="s">
        <v>94</v>
      </c>
      <c r="AO373" s="17" t="s">
        <v>98</v>
      </c>
      <c r="AP373" s="17" t="s">
        <v>98</v>
      </c>
      <c r="AQ373" s="17" t="s">
        <v>98</v>
      </c>
      <c r="AR373" s="17" t="s">
        <v>94</v>
      </c>
      <c r="AS373" s="17" t="s">
        <v>4491</v>
      </c>
      <c r="AT373" s="17"/>
      <c r="AU373" s="30" t="s">
        <v>4492</v>
      </c>
      <c r="AV373" s="14" t="s">
        <v>4493</v>
      </c>
      <c r="AW373" s="74"/>
      <c r="AX373" s="1" t="s">
        <v>4494</v>
      </c>
      <c r="AY373" s="17" t="s">
        <v>101</v>
      </c>
    </row>
    <row r="374" spans="1:51" ht="12.75" customHeight="1" x14ac:dyDescent="0.25">
      <c r="A374" s="5">
        <v>371</v>
      </c>
      <c r="B374" s="9">
        <v>371</v>
      </c>
      <c r="C374" s="9" t="s">
        <v>4495</v>
      </c>
      <c r="D374" s="57" t="str">
        <f>HYPERLINK("http://prodenv.dep.state.fl.us/DepNexus/public/electronic-documents/OG_371/facility!search","OG_371_Docs")</f>
        <v>OG_371_Docs</v>
      </c>
      <c r="E374" s="57" t="str">
        <f>HYPERLINK("https://ca.dep.state.fl.us/mapdirect/?focus=oilandgas&amp;zoom=query&amp;querytype=oilandgas&amp;queryvalues=OG_371","OG_371_Map")</f>
        <v>OG_371_Map</v>
      </c>
      <c r="F374" s="1" t="s">
        <v>1752</v>
      </c>
      <c r="G374" s="1" t="s">
        <v>4496</v>
      </c>
      <c r="H374" s="1" t="s">
        <v>3669</v>
      </c>
      <c r="I374" s="1" t="s">
        <v>4497</v>
      </c>
      <c r="J374" s="17" t="s">
        <v>268</v>
      </c>
      <c r="K374" s="17" t="s">
        <v>412</v>
      </c>
      <c r="L374" s="17"/>
      <c r="M374" s="17"/>
      <c r="N374" s="52" t="s">
        <v>3956</v>
      </c>
      <c r="O374" s="17" t="s">
        <v>86</v>
      </c>
      <c r="P374" s="17" t="s">
        <v>86</v>
      </c>
      <c r="Q374" s="81" t="s">
        <v>4498</v>
      </c>
      <c r="R374" s="11">
        <v>26.544636000000001</v>
      </c>
      <c r="S374" s="11">
        <v>-81.528953000000001</v>
      </c>
      <c r="T374" s="11" t="s">
        <v>4499</v>
      </c>
      <c r="U374" s="11" t="s">
        <v>4500</v>
      </c>
      <c r="V374" s="17" t="s">
        <v>4501</v>
      </c>
      <c r="W374" s="17" t="s">
        <v>110</v>
      </c>
      <c r="X374" s="70">
        <v>47</v>
      </c>
      <c r="Y374" s="70">
        <v>31</v>
      </c>
      <c r="Z374" s="13">
        <v>24258</v>
      </c>
      <c r="AA374" s="13">
        <v>24255</v>
      </c>
      <c r="AB374" s="13">
        <v>24321</v>
      </c>
      <c r="AC374" s="13">
        <v>32752</v>
      </c>
      <c r="AD374" s="86">
        <v>11675</v>
      </c>
      <c r="AE374" s="86">
        <v>11675</v>
      </c>
      <c r="AF374" s="70" t="s">
        <v>4117</v>
      </c>
      <c r="AG374" s="17" t="s">
        <v>4502</v>
      </c>
      <c r="AH374" s="17" t="s">
        <v>4503</v>
      </c>
      <c r="AI374" s="70" t="s">
        <v>4504</v>
      </c>
      <c r="AJ374" s="17" t="s">
        <v>4505</v>
      </c>
      <c r="AK374" s="17" t="s">
        <v>95</v>
      </c>
      <c r="AL374" s="17" t="s">
        <v>4506</v>
      </c>
      <c r="AM374" s="17" t="s">
        <v>94</v>
      </c>
      <c r="AN374" s="17" t="s">
        <v>4507</v>
      </c>
      <c r="AO374" s="17" t="s">
        <v>4508</v>
      </c>
      <c r="AP374" s="17" t="s">
        <v>4509</v>
      </c>
      <c r="AQ374" s="17" t="s">
        <v>4510</v>
      </c>
      <c r="AR374" s="17" t="s">
        <v>4511</v>
      </c>
      <c r="AS374" s="17" t="s">
        <v>4512</v>
      </c>
      <c r="AT374" s="17">
        <v>191</v>
      </c>
      <c r="AU374" s="30" t="s">
        <v>4513</v>
      </c>
      <c r="AV374" s="14">
        <v>7804</v>
      </c>
      <c r="AW374" s="74"/>
      <c r="AX374" s="39" t="s">
        <v>4514</v>
      </c>
      <c r="AY374" s="17" t="s">
        <v>101</v>
      </c>
    </row>
    <row r="375" spans="1:51" ht="15" customHeight="1" x14ac:dyDescent="0.25">
      <c r="A375" s="5">
        <v>372</v>
      </c>
      <c r="B375" s="9">
        <v>372</v>
      </c>
      <c r="C375" s="9" t="s">
        <v>4515</v>
      </c>
      <c r="D375" s="57" t="str">
        <f>HYPERLINK("http://prodenv.dep.state.fl.us/DepNexus/public/electronic-documents/OG_372/facility!search","OG_372_Docs")</f>
        <v>OG_372_Docs</v>
      </c>
      <c r="E375" s="57" t="str">
        <f>HYPERLINK("https://ca.dep.state.fl.us/mapdirect/?focus=oilandgas&amp;zoom=query&amp;querytype=oilandgas&amp;queryvalues=OG_372","OG_372_Map")</f>
        <v>OG_372_Map</v>
      </c>
      <c r="F375" s="1" t="s">
        <v>265</v>
      </c>
      <c r="G375" s="1" t="s">
        <v>3668</v>
      </c>
      <c r="H375" s="1" t="s">
        <v>3669</v>
      </c>
      <c r="I375" s="1" t="s">
        <v>4516</v>
      </c>
      <c r="J375" s="17" t="s">
        <v>82</v>
      </c>
      <c r="K375" s="17" t="s">
        <v>83</v>
      </c>
      <c r="L375" s="17"/>
      <c r="M375" s="17"/>
      <c r="N375" s="52" t="s">
        <v>3688</v>
      </c>
      <c r="O375" s="17" t="s">
        <v>86</v>
      </c>
      <c r="P375" s="17" t="s">
        <v>86</v>
      </c>
      <c r="Q375" s="81" t="s">
        <v>4517</v>
      </c>
      <c r="R375" s="11">
        <v>26.497046999999998</v>
      </c>
      <c r="S375" s="11">
        <v>-81.382373000000001</v>
      </c>
      <c r="T375" s="11" t="s">
        <v>4518</v>
      </c>
      <c r="U375" s="11" t="s">
        <v>4519</v>
      </c>
      <c r="V375" s="17" t="s">
        <v>4520</v>
      </c>
      <c r="W375" s="17" t="s">
        <v>110</v>
      </c>
      <c r="X375" s="70">
        <v>50</v>
      </c>
      <c r="Y375" s="70">
        <v>34</v>
      </c>
      <c r="Z375" s="13">
        <v>24300</v>
      </c>
      <c r="AA375" s="13">
        <v>24308</v>
      </c>
      <c r="AB375" s="13">
        <v>24334</v>
      </c>
      <c r="AC375" s="13">
        <v>24366</v>
      </c>
      <c r="AD375" s="86">
        <v>11630</v>
      </c>
      <c r="AE375" s="86">
        <v>11630</v>
      </c>
      <c r="AF375" s="70" t="s">
        <v>4259</v>
      </c>
      <c r="AG375" s="17" t="s">
        <v>4521</v>
      </c>
      <c r="AH375" s="17" t="s">
        <v>4333</v>
      </c>
      <c r="AI375" s="70" t="s">
        <v>94</v>
      </c>
      <c r="AJ375" s="17" t="s">
        <v>94</v>
      </c>
      <c r="AK375" s="17" t="s">
        <v>95</v>
      </c>
      <c r="AL375" s="17" t="s">
        <v>94</v>
      </c>
      <c r="AM375" s="17" t="s">
        <v>94</v>
      </c>
      <c r="AN375" s="17" t="s">
        <v>94</v>
      </c>
      <c r="AO375" s="17" t="s">
        <v>98</v>
      </c>
      <c r="AP375" s="17" t="s">
        <v>98</v>
      </c>
      <c r="AQ375" s="17" t="s">
        <v>98</v>
      </c>
      <c r="AR375" s="17" t="s">
        <v>94</v>
      </c>
      <c r="AS375" s="17" t="s">
        <v>4522</v>
      </c>
      <c r="AT375" s="17"/>
      <c r="AU375" s="30" t="s">
        <v>4523</v>
      </c>
      <c r="AV375" s="14">
        <v>7843</v>
      </c>
      <c r="AW375" s="74"/>
      <c r="AX375" s="1"/>
      <c r="AY375" s="17" t="s">
        <v>101</v>
      </c>
    </row>
    <row r="376" spans="1:51" ht="12.75" customHeight="1" x14ac:dyDescent="0.25">
      <c r="A376" s="5">
        <v>373</v>
      </c>
      <c r="B376" s="9">
        <v>373</v>
      </c>
      <c r="C376" s="9" t="s">
        <v>4524</v>
      </c>
      <c r="D376" s="57" t="str">
        <f>HYPERLINK("http://prodenv.dep.state.fl.us/DepNexus/public/electronic-documents/OG_373/facility!search","OG_373_Docs")</f>
        <v>OG_373_Docs</v>
      </c>
      <c r="E376" s="57" t="str">
        <f>HYPERLINK("https://ca.dep.state.fl.us/mapdirect/?focus=oilandgas&amp;zoom=query&amp;querytype=oilandgas&amp;queryvalues=OG_373","OG_373_Map")</f>
        <v>OG_373_Map</v>
      </c>
      <c r="F376" s="1" t="s">
        <v>2222</v>
      </c>
      <c r="G376" s="1" t="s">
        <v>79</v>
      </c>
      <c r="H376" s="1" t="s">
        <v>4242</v>
      </c>
      <c r="I376" s="1" t="s">
        <v>4525</v>
      </c>
      <c r="J376" s="17" t="s">
        <v>82</v>
      </c>
      <c r="K376" s="17" t="s">
        <v>83</v>
      </c>
      <c r="L376" s="17"/>
      <c r="M376" s="17" t="s">
        <v>84</v>
      </c>
      <c r="N376" s="52" t="s">
        <v>4526</v>
      </c>
      <c r="O376" s="17" t="s">
        <v>86</v>
      </c>
      <c r="P376" s="17" t="s">
        <v>86</v>
      </c>
      <c r="Q376" s="81" t="s">
        <v>4527</v>
      </c>
      <c r="R376" s="11">
        <v>26.840613999999999</v>
      </c>
      <c r="S376" s="11">
        <v>-81.628715</v>
      </c>
      <c r="T376" s="11" t="s">
        <v>4528</v>
      </c>
      <c r="U376" s="11" t="s">
        <v>4529</v>
      </c>
      <c r="V376" s="17" t="s">
        <v>809</v>
      </c>
      <c r="W376" s="17" t="s">
        <v>110</v>
      </c>
      <c r="X376" s="70">
        <v>54</v>
      </c>
      <c r="Y376" s="70">
        <v>37</v>
      </c>
      <c r="Z376" s="13">
        <v>24321</v>
      </c>
      <c r="AA376" s="13">
        <v>24451</v>
      </c>
      <c r="AB376" s="13">
        <v>24503</v>
      </c>
      <c r="AC376" s="13">
        <v>24503</v>
      </c>
      <c r="AD376" s="86">
        <v>12500</v>
      </c>
      <c r="AE376" s="86">
        <v>12500</v>
      </c>
      <c r="AF376" s="70" t="s">
        <v>706</v>
      </c>
      <c r="AG376" s="17" t="s">
        <v>4530</v>
      </c>
      <c r="AH376" s="17" t="s">
        <v>4531</v>
      </c>
      <c r="AI376" s="70" t="s">
        <v>94</v>
      </c>
      <c r="AJ376" s="17" t="s">
        <v>94</v>
      </c>
      <c r="AK376" s="17" t="s">
        <v>95</v>
      </c>
      <c r="AL376" s="17" t="s">
        <v>4532</v>
      </c>
      <c r="AM376" s="17" t="s">
        <v>94</v>
      </c>
      <c r="AN376" s="17" t="s">
        <v>86</v>
      </c>
      <c r="AO376" s="17" t="s">
        <v>98</v>
      </c>
      <c r="AP376" s="17" t="s">
        <v>98</v>
      </c>
      <c r="AQ376" s="17" t="s">
        <v>98</v>
      </c>
      <c r="AR376" s="17" t="s">
        <v>94</v>
      </c>
      <c r="AS376" s="17" t="s">
        <v>4533</v>
      </c>
      <c r="AT376" s="17">
        <v>192</v>
      </c>
      <c r="AU376" s="30" t="s">
        <v>4534</v>
      </c>
      <c r="AV376" s="14">
        <v>8079</v>
      </c>
      <c r="AW376" s="74"/>
      <c r="AX376" s="1"/>
      <c r="AY376" s="17" t="s">
        <v>101</v>
      </c>
    </row>
    <row r="377" spans="1:51" ht="12.75" customHeight="1" x14ac:dyDescent="0.25">
      <c r="A377" s="5">
        <v>374</v>
      </c>
      <c r="B377" s="9">
        <v>374</v>
      </c>
      <c r="C377" s="9" t="s">
        <v>4535</v>
      </c>
      <c r="D377" s="57" t="str">
        <f>HYPERLINK("http://prodenv.dep.state.fl.us/DepNexus/public/electronic-documents/OG_374/facility!search","OG_374_Docs")</f>
        <v>OG_374_Docs</v>
      </c>
      <c r="E377" s="57" t="str">
        <f>HYPERLINK("https://ca.dep.state.fl.us/mapdirect/?focus=oilandgas&amp;zoom=query&amp;querytype=oilandgas&amp;queryvalues=OG_374","OG_374_Map")</f>
        <v>OG_374_Map</v>
      </c>
      <c r="F377" s="1" t="s">
        <v>78</v>
      </c>
      <c r="G377" s="1" t="s">
        <v>79</v>
      </c>
      <c r="H377" s="1" t="s">
        <v>4064</v>
      </c>
      <c r="I377" s="1" t="s">
        <v>4536</v>
      </c>
      <c r="J377" s="17" t="s">
        <v>4294</v>
      </c>
      <c r="K377" s="23" t="s">
        <v>4294</v>
      </c>
      <c r="L377" s="17"/>
      <c r="M377" s="17"/>
      <c r="N377" s="52" t="s">
        <v>86</v>
      </c>
      <c r="O377" s="17" t="s">
        <v>86</v>
      </c>
      <c r="P377" s="17" t="s">
        <v>86</v>
      </c>
      <c r="Q377" s="81" t="s">
        <v>4537</v>
      </c>
      <c r="R377" s="11">
        <v>28.536256999999999</v>
      </c>
      <c r="S377" s="11">
        <v>-82.221860000000007</v>
      </c>
      <c r="T377" s="11" t="s">
        <v>4538</v>
      </c>
      <c r="U377" s="11" t="s">
        <v>4539</v>
      </c>
      <c r="V377" s="17" t="s">
        <v>4540</v>
      </c>
      <c r="W377" s="17" t="s">
        <v>110</v>
      </c>
      <c r="X377" s="71"/>
      <c r="Y377" s="70">
        <v>73</v>
      </c>
      <c r="Z377" s="13">
        <v>24433</v>
      </c>
      <c r="AA377" s="13">
        <v>24468</v>
      </c>
      <c r="AB377" s="13">
        <v>24623</v>
      </c>
      <c r="AC377" s="13">
        <v>24623</v>
      </c>
      <c r="AD377" s="86">
        <v>1370</v>
      </c>
      <c r="AE377" s="86">
        <v>1370</v>
      </c>
      <c r="AF377" s="71" t="s">
        <v>4541</v>
      </c>
      <c r="AG377" s="23" t="s">
        <v>4542</v>
      </c>
      <c r="AH377" s="17" t="s">
        <v>94</v>
      </c>
      <c r="AI377" s="70" t="s">
        <v>94</v>
      </c>
      <c r="AJ377" s="17" t="s">
        <v>94</v>
      </c>
      <c r="AK377" s="17" t="s">
        <v>95</v>
      </c>
      <c r="AL377" s="17" t="s">
        <v>94</v>
      </c>
      <c r="AM377" s="17" t="s">
        <v>94</v>
      </c>
      <c r="AN377" s="17" t="s">
        <v>94</v>
      </c>
      <c r="AO377" s="17" t="s">
        <v>94</v>
      </c>
      <c r="AP377" s="17" t="s">
        <v>94</v>
      </c>
      <c r="AQ377" s="17" t="s">
        <v>94</v>
      </c>
      <c r="AR377" s="17" t="s">
        <v>94</v>
      </c>
      <c r="AS377" s="17" t="s">
        <v>4543</v>
      </c>
      <c r="AT377" s="17"/>
      <c r="AU377" s="30" t="s">
        <v>4544</v>
      </c>
      <c r="AV377" s="14">
        <v>8140</v>
      </c>
      <c r="AW377" s="74"/>
      <c r="AX377" s="24" t="s">
        <v>4545</v>
      </c>
      <c r="AY377" s="17" t="s">
        <v>101</v>
      </c>
    </row>
    <row r="378" spans="1:51" ht="12.75" customHeight="1" x14ac:dyDescent="0.25">
      <c r="A378" s="5">
        <v>375</v>
      </c>
      <c r="B378" s="9">
        <v>375</v>
      </c>
      <c r="C378" s="9" t="s">
        <v>4546</v>
      </c>
      <c r="D378" s="57" t="str">
        <f>HYPERLINK("http://prodenv.dep.state.fl.us/DepNexus/public/electronic-documents/OG_375/facility!search","OG_375_Docs")</f>
        <v>OG_375_Docs</v>
      </c>
      <c r="E378" s="57" t="str">
        <f>HYPERLINK("https://ca.dep.state.fl.us/mapdirect/?focus=oilandgas&amp;zoom=query&amp;querytype=oilandgas&amp;queryvalues=OG_375","OG_375_Map")</f>
        <v>OG_375_Map</v>
      </c>
      <c r="F378" s="1" t="s">
        <v>2222</v>
      </c>
      <c r="G378" s="1" t="s">
        <v>79</v>
      </c>
      <c r="H378" s="1" t="s">
        <v>4242</v>
      </c>
      <c r="I378" s="1" t="s">
        <v>4547</v>
      </c>
      <c r="J378" s="17" t="s">
        <v>82</v>
      </c>
      <c r="K378" s="17" t="s">
        <v>83</v>
      </c>
      <c r="L378" s="17"/>
      <c r="M378" s="17" t="s">
        <v>101</v>
      </c>
      <c r="N378" s="52" t="s">
        <v>4548</v>
      </c>
      <c r="O378" s="17" t="s">
        <v>609</v>
      </c>
      <c r="P378" s="17" t="s">
        <v>86</v>
      </c>
      <c r="Q378" s="81" t="s">
        <v>609</v>
      </c>
      <c r="R378" s="11">
        <v>26.838656</v>
      </c>
      <c r="S378" s="11">
        <v>-82.404841000000005</v>
      </c>
      <c r="T378" s="11" t="s">
        <v>4549</v>
      </c>
      <c r="U378" s="11" t="s">
        <v>4550</v>
      </c>
      <c r="V378" s="17" t="s">
        <v>233</v>
      </c>
      <c r="W378" s="23" t="s">
        <v>110</v>
      </c>
      <c r="X378" s="70">
        <v>63</v>
      </c>
      <c r="Y378" s="70"/>
      <c r="Z378" s="13">
        <v>24454</v>
      </c>
      <c r="AA378" s="13">
        <v>24552</v>
      </c>
      <c r="AB378" s="13">
        <v>24604</v>
      </c>
      <c r="AC378" s="13">
        <v>24604</v>
      </c>
      <c r="AD378" s="86">
        <v>12931</v>
      </c>
      <c r="AE378" s="86">
        <v>12931</v>
      </c>
      <c r="AF378" s="70" t="s">
        <v>4551</v>
      </c>
      <c r="AG378" s="17" t="s">
        <v>4552</v>
      </c>
      <c r="AH378" s="17" t="s">
        <v>4553</v>
      </c>
      <c r="AI378" s="70" t="s">
        <v>4554</v>
      </c>
      <c r="AJ378" s="17" t="s">
        <v>94</v>
      </c>
      <c r="AK378" s="17" t="s">
        <v>95</v>
      </c>
      <c r="AL378" s="17" t="s">
        <v>4555</v>
      </c>
      <c r="AM378" s="17" t="s">
        <v>94</v>
      </c>
      <c r="AN378" s="17" t="s">
        <v>86</v>
      </c>
      <c r="AO378" s="17" t="s">
        <v>98</v>
      </c>
      <c r="AP378" s="17" t="s">
        <v>98</v>
      </c>
      <c r="AQ378" s="17" t="s">
        <v>98</v>
      </c>
      <c r="AR378" s="17" t="s">
        <v>94</v>
      </c>
      <c r="AS378" s="17" t="s">
        <v>4556</v>
      </c>
      <c r="AT378" s="17">
        <v>184</v>
      </c>
      <c r="AU378" s="30" t="s">
        <v>4557</v>
      </c>
      <c r="AV378" s="14">
        <v>8139</v>
      </c>
      <c r="AW378" s="74"/>
      <c r="AX378" s="1"/>
      <c r="AY378" s="17" t="s">
        <v>101</v>
      </c>
    </row>
    <row r="379" spans="1:51" ht="12.75" customHeight="1" x14ac:dyDescent="0.25">
      <c r="A379" s="5">
        <v>376</v>
      </c>
      <c r="B379" s="9">
        <v>376</v>
      </c>
      <c r="C379" s="9" t="s">
        <v>4558</v>
      </c>
      <c r="D379" s="57" t="str">
        <f>HYPERLINK("http://prodenv.dep.state.fl.us/DepNexus/public/electronic-documents/OG_376/facility!search","OG_376_Docs")</f>
        <v>OG_376_Docs</v>
      </c>
      <c r="E379" s="57" t="str">
        <f>HYPERLINK("https://ca.dep.state.fl.us/mapdirect/?focus=oilandgas&amp;zoom=query&amp;querytype=oilandgas&amp;queryvalues=OG_376","OG_376_Map")</f>
        <v>OG_376_Map</v>
      </c>
      <c r="F379" s="1" t="s">
        <v>204</v>
      </c>
      <c r="G379" s="1" t="s">
        <v>2103</v>
      </c>
      <c r="H379" s="1" t="s">
        <v>4559</v>
      </c>
      <c r="I379" s="1" t="s">
        <v>4560</v>
      </c>
      <c r="J379" s="17" t="s">
        <v>82</v>
      </c>
      <c r="K379" s="17" t="s">
        <v>83</v>
      </c>
      <c r="L379" s="17" t="s">
        <v>101</v>
      </c>
      <c r="M379" s="17" t="s">
        <v>84</v>
      </c>
      <c r="N379" s="52" t="s">
        <v>3956</v>
      </c>
      <c r="O379" s="17" t="s">
        <v>86</v>
      </c>
      <c r="P379" s="17" t="s">
        <v>86</v>
      </c>
      <c r="Q379" s="81" t="s">
        <v>4561</v>
      </c>
      <c r="R379" s="11">
        <v>25.764479000000001</v>
      </c>
      <c r="S379" s="11">
        <v>-80.772841</v>
      </c>
      <c r="T379" s="11" t="s">
        <v>4562</v>
      </c>
      <c r="U379" s="11" t="s">
        <v>4563</v>
      </c>
      <c r="V379" s="17" t="s">
        <v>4564</v>
      </c>
      <c r="W379" s="23" t="s">
        <v>110</v>
      </c>
      <c r="X379" s="70">
        <v>24</v>
      </c>
      <c r="Y379" s="70">
        <v>9</v>
      </c>
      <c r="Z379" s="13">
        <v>24482</v>
      </c>
      <c r="AA379" s="13">
        <v>24587</v>
      </c>
      <c r="AB379" s="13">
        <v>24621</v>
      </c>
      <c r="AC379" s="13">
        <v>24621</v>
      </c>
      <c r="AD379" s="86">
        <v>11510</v>
      </c>
      <c r="AE379" s="86">
        <v>11510</v>
      </c>
      <c r="AF379" s="70" t="s">
        <v>2703</v>
      </c>
      <c r="AG379" s="17" t="s">
        <v>4565</v>
      </c>
      <c r="AH379" s="17" t="s">
        <v>4566</v>
      </c>
      <c r="AI379" s="70" t="s">
        <v>94</v>
      </c>
      <c r="AJ379" s="17" t="s">
        <v>94</v>
      </c>
      <c r="AK379" s="17" t="s">
        <v>95</v>
      </c>
      <c r="AL379" s="17" t="s">
        <v>4567</v>
      </c>
      <c r="AM379" s="23" t="s">
        <v>95</v>
      </c>
      <c r="AN379" s="17" t="s">
        <v>4568</v>
      </c>
      <c r="AO379" s="17" t="s">
        <v>98</v>
      </c>
      <c r="AP379" s="17" t="s">
        <v>98</v>
      </c>
      <c r="AQ379" s="17" t="s">
        <v>98</v>
      </c>
      <c r="AR379" s="17" t="s">
        <v>94</v>
      </c>
      <c r="AS379" s="17" t="s">
        <v>4569</v>
      </c>
      <c r="AT379" s="17">
        <v>168</v>
      </c>
      <c r="AU379" s="30" t="s">
        <v>4570</v>
      </c>
      <c r="AV379" s="14">
        <v>8131</v>
      </c>
      <c r="AW379" s="74"/>
      <c r="AX379" s="1"/>
      <c r="AY379" s="17" t="s">
        <v>101</v>
      </c>
    </row>
    <row r="380" spans="1:51" ht="12.75" customHeight="1" x14ac:dyDescent="0.25">
      <c r="A380" s="5">
        <v>377</v>
      </c>
      <c r="B380" s="9">
        <v>377</v>
      </c>
      <c r="C380" s="9" t="s">
        <v>4571</v>
      </c>
      <c r="D380" s="57" t="str">
        <f>HYPERLINK("http://prodenv.dep.state.fl.us/DepNexus/public/electronic-documents/OG_377/facility!search","OG_377_Docs")</f>
        <v>OG_377_Docs</v>
      </c>
      <c r="E380" s="57" t="str">
        <f>HYPERLINK("https://ca.dep.state.fl.us/mapdirect/?focus=oilandgas&amp;zoom=query&amp;querytype=oilandgas&amp;queryvalues=OG_377","OG_377_Map")</f>
        <v>OG_377_Map</v>
      </c>
      <c r="F380" s="1" t="s">
        <v>1797</v>
      </c>
      <c r="G380" s="1" t="s">
        <v>79</v>
      </c>
      <c r="H380" s="1" t="s">
        <v>4572</v>
      </c>
      <c r="I380" s="1" t="s">
        <v>4573</v>
      </c>
      <c r="J380" s="17" t="s">
        <v>82</v>
      </c>
      <c r="K380" s="17" t="s">
        <v>83</v>
      </c>
      <c r="L380" s="17"/>
      <c r="M380" s="17"/>
      <c r="N380" s="52" t="s">
        <v>3956</v>
      </c>
      <c r="O380" s="17" t="s">
        <v>86</v>
      </c>
      <c r="P380" s="17" t="s">
        <v>86</v>
      </c>
      <c r="Q380" s="81" t="s">
        <v>3661</v>
      </c>
      <c r="R380" s="11">
        <v>30.944696</v>
      </c>
      <c r="S380" s="11">
        <v>-87.146100000000004</v>
      </c>
      <c r="T380" s="11" t="s">
        <v>4574</v>
      </c>
      <c r="U380" s="11" t="s">
        <v>4575</v>
      </c>
      <c r="V380" s="17" t="s">
        <v>4576</v>
      </c>
      <c r="W380" s="17" t="s">
        <v>110</v>
      </c>
      <c r="X380" s="70">
        <v>264</v>
      </c>
      <c r="Y380" s="70">
        <v>254</v>
      </c>
      <c r="Z380" s="13">
        <v>24573</v>
      </c>
      <c r="AA380" s="13">
        <v>24659</v>
      </c>
      <c r="AB380" s="13">
        <v>24670</v>
      </c>
      <c r="AC380" s="13">
        <v>24670</v>
      </c>
      <c r="AD380" s="86">
        <v>6600</v>
      </c>
      <c r="AE380" s="86">
        <v>6600</v>
      </c>
      <c r="AF380" s="71" t="s">
        <v>4577</v>
      </c>
      <c r="AG380" s="17" t="s">
        <v>94</v>
      </c>
      <c r="AH380" s="17" t="s">
        <v>94</v>
      </c>
      <c r="AI380" s="70" t="s">
        <v>94</v>
      </c>
      <c r="AJ380" s="17" t="s">
        <v>94</v>
      </c>
      <c r="AK380" s="17" t="s">
        <v>94</v>
      </c>
      <c r="AL380" s="17" t="s">
        <v>94</v>
      </c>
      <c r="AM380" s="17" t="s">
        <v>94</v>
      </c>
      <c r="AN380" s="17" t="s">
        <v>94</v>
      </c>
      <c r="AO380" s="17" t="s">
        <v>98</v>
      </c>
      <c r="AP380" s="17" t="s">
        <v>98</v>
      </c>
      <c r="AQ380" s="17" t="s">
        <v>98</v>
      </c>
      <c r="AR380" s="17" t="s">
        <v>94</v>
      </c>
      <c r="AS380" s="23" t="s">
        <v>4578</v>
      </c>
      <c r="AT380" s="17"/>
      <c r="AU380" s="30" t="s">
        <v>4579</v>
      </c>
      <c r="AV380" s="14" t="s">
        <v>94</v>
      </c>
      <c r="AW380" s="74"/>
      <c r="AX380" s="1"/>
      <c r="AY380" s="17" t="s">
        <v>101</v>
      </c>
    </row>
    <row r="381" spans="1:51" ht="12.75" customHeight="1" x14ac:dyDescent="0.25">
      <c r="A381" s="5">
        <v>378</v>
      </c>
      <c r="B381" s="9">
        <v>378</v>
      </c>
      <c r="C381" s="9" t="s">
        <v>4580</v>
      </c>
      <c r="D381" s="57" t="str">
        <f>HYPERLINK("http://prodenv.dep.state.fl.us/DepNexus/public/electronic-documents/OG_378/facility!search","OG_378_Docs")</f>
        <v>OG_378_Docs</v>
      </c>
      <c r="E381" s="57" t="str">
        <f>HYPERLINK("https://ca.dep.state.fl.us/mapdirect/?focus=oilandgas&amp;zoom=query&amp;querytype=oilandgas&amp;queryvalues=OG_378","OG_378_Map")</f>
        <v>OG_378_Map</v>
      </c>
      <c r="F381" s="1" t="s">
        <v>78</v>
      </c>
      <c r="G381" s="1" t="s">
        <v>79</v>
      </c>
      <c r="H381" s="1" t="s">
        <v>4064</v>
      </c>
      <c r="I381" s="1" t="s">
        <v>4581</v>
      </c>
      <c r="J381" s="17" t="s">
        <v>82</v>
      </c>
      <c r="K381" s="17" t="s">
        <v>83</v>
      </c>
      <c r="L381" s="17"/>
      <c r="M381" s="17" t="s">
        <v>84</v>
      </c>
      <c r="N381" s="52" t="s">
        <v>4582</v>
      </c>
      <c r="O381" s="17" t="s">
        <v>86</v>
      </c>
      <c r="P381" s="17" t="s">
        <v>86</v>
      </c>
      <c r="Q381" s="81" t="s">
        <v>4537</v>
      </c>
      <c r="R381" s="11">
        <v>28.526937</v>
      </c>
      <c r="S381" s="11">
        <v>-82.232319000000004</v>
      </c>
      <c r="T381" s="11" t="s">
        <v>4583</v>
      </c>
      <c r="U381" s="11" t="s">
        <v>4584</v>
      </c>
      <c r="V381" s="17" t="s">
        <v>4585</v>
      </c>
      <c r="W381" s="17" t="s">
        <v>110</v>
      </c>
      <c r="X381" s="70">
        <v>82</v>
      </c>
      <c r="Y381" s="70">
        <v>75</v>
      </c>
      <c r="Z381" s="13">
        <v>24622</v>
      </c>
      <c r="AA381" s="13">
        <v>24780</v>
      </c>
      <c r="AB381" s="13">
        <v>24816</v>
      </c>
      <c r="AC381" s="13">
        <v>24818</v>
      </c>
      <c r="AD381" s="86">
        <v>6209</v>
      </c>
      <c r="AE381" s="86">
        <v>6209</v>
      </c>
      <c r="AF381" s="70" t="s">
        <v>4586</v>
      </c>
      <c r="AG381" s="17" t="s">
        <v>4587</v>
      </c>
      <c r="AH381" s="17" t="s">
        <v>94</v>
      </c>
      <c r="AI381" s="70" t="s">
        <v>94</v>
      </c>
      <c r="AJ381" s="17" t="s">
        <v>94</v>
      </c>
      <c r="AK381" s="17" t="s">
        <v>95</v>
      </c>
      <c r="AL381" s="17" t="s">
        <v>86</v>
      </c>
      <c r="AM381" s="17" t="s">
        <v>94</v>
      </c>
      <c r="AN381" s="17" t="s">
        <v>94</v>
      </c>
      <c r="AO381" s="17" t="s">
        <v>98</v>
      </c>
      <c r="AP381" s="17" t="s">
        <v>98</v>
      </c>
      <c r="AQ381" s="17" t="s">
        <v>98</v>
      </c>
      <c r="AR381" s="17" t="s">
        <v>94</v>
      </c>
      <c r="AS381" s="17" t="s">
        <v>4588</v>
      </c>
      <c r="AT381" s="17">
        <v>120</v>
      </c>
      <c r="AU381" s="30" t="s">
        <v>4589</v>
      </c>
      <c r="AV381" s="14">
        <v>8188</v>
      </c>
      <c r="AW381" s="74"/>
      <c r="AX381" s="24" t="s">
        <v>4590</v>
      </c>
      <c r="AY381" s="17" t="s">
        <v>101</v>
      </c>
    </row>
    <row r="382" spans="1:51" ht="12.75" customHeight="1" x14ac:dyDescent="0.25">
      <c r="A382" s="5">
        <v>379</v>
      </c>
      <c r="B382" s="9">
        <v>379</v>
      </c>
      <c r="C382" s="9" t="s">
        <v>4591</v>
      </c>
      <c r="D382" s="57" t="str">
        <f>HYPERLINK("http://prodenv.dep.state.fl.us/DepNexus/public/electronic-documents/OG_379/facility!search","OG_379_Docs")</f>
        <v>OG_379_Docs</v>
      </c>
      <c r="E382" s="57" t="str">
        <f>HYPERLINK("https://ca.dep.state.fl.us/mapdirect/?focus=oilandgas&amp;zoom=query&amp;querytype=oilandgas&amp;queryvalues=OG_379","OG_379_Map")</f>
        <v>OG_379_Map</v>
      </c>
      <c r="F382" s="1" t="s">
        <v>265</v>
      </c>
      <c r="G382" s="1" t="s">
        <v>79</v>
      </c>
      <c r="H382" s="1" t="s">
        <v>4592</v>
      </c>
      <c r="I382" s="1" t="s">
        <v>4593</v>
      </c>
      <c r="J382" s="17" t="s">
        <v>82</v>
      </c>
      <c r="K382" s="17" t="s">
        <v>83</v>
      </c>
      <c r="L382" s="17"/>
      <c r="M382" s="17"/>
      <c r="N382" s="52" t="s">
        <v>3956</v>
      </c>
      <c r="O382" s="17" t="s">
        <v>86</v>
      </c>
      <c r="P382" s="17" t="s">
        <v>86</v>
      </c>
      <c r="Q382" s="81" t="s">
        <v>4594</v>
      </c>
      <c r="R382" s="11">
        <v>26.457314</v>
      </c>
      <c r="S382" s="11">
        <v>-81.436153000000004</v>
      </c>
      <c r="T382" s="11" t="s">
        <v>4595</v>
      </c>
      <c r="U382" s="11" t="s">
        <v>4596</v>
      </c>
      <c r="V382" s="17" t="s">
        <v>4597</v>
      </c>
      <c r="W382" s="17" t="s">
        <v>110</v>
      </c>
      <c r="X382" s="70">
        <v>54</v>
      </c>
      <c r="Y382" s="70">
        <v>35</v>
      </c>
      <c r="Z382" s="13">
        <v>24629</v>
      </c>
      <c r="AA382" s="13">
        <v>24611</v>
      </c>
      <c r="AB382" s="13">
        <v>24659</v>
      </c>
      <c r="AC382" s="13">
        <v>25003</v>
      </c>
      <c r="AD382" s="86">
        <v>11810</v>
      </c>
      <c r="AE382" s="86">
        <v>11810</v>
      </c>
      <c r="AF382" s="70" t="s">
        <v>4598</v>
      </c>
      <c r="AG382" s="17" t="s">
        <v>4599</v>
      </c>
      <c r="AH382" s="17" t="s">
        <v>4600</v>
      </c>
      <c r="AI382" s="70" t="s">
        <v>94</v>
      </c>
      <c r="AJ382" s="17" t="s">
        <v>94</v>
      </c>
      <c r="AK382" s="17" t="s">
        <v>95</v>
      </c>
      <c r="AL382" s="17" t="s">
        <v>4601</v>
      </c>
      <c r="AM382" s="17" t="s">
        <v>94</v>
      </c>
      <c r="AN382" s="17" t="s">
        <v>4602</v>
      </c>
      <c r="AO382" s="17" t="s">
        <v>98</v>
      </c>
      <c r="AP382" s="17" t="s">
        <v>98</v>
      </c>
      <c r="AQ382" s="17" t="s">
        <v>98</v>
      </c>
      <c r="AR382" s="17" t="s">
        <v>94</v>
      </c>
      <c r="AS382" s="17" t="s">
        <v>4603</v>
      </c>
      <c r="AT382" s="17"/>
      <c r="AU382" s="30" t="s">
        <v>4604</v>
      </c>
      <c r="AV382" s="14">
        <v>8187</v>
      </c>
      <c r="AW382" s="74"/>
      <c r="AX382" s="1"/>
      <c r="AY382" s="17" t="s">
        <v>101</v>
      </c>
    </row>
    <row r="383" spans="1:51" ht="12.75" customHeight="1" x14ac:dyDescent="0.25">
      <c r="A383" s="5">
        <v>380</v>
      </c>
      <c r="B383" s="9">
        <v>380</v>
      </c>
      <c r="C383" s="9" t="s">
        <v>4605</v>
      </c>
      <c r="D383" s="57" t="str">
        <f>HYPERLINK("http://prodenv.dep.state.fl.us/DepNexus/public/electronic-documents/OG_380/facility!search","OG_380_Docs")</f>
        <v>OG_380_Docs</v>
      </c>
      <c r="E383" s="57" t="str">
        <f>HYPERLINK("https://ca.dep.state.fl.us/mapdirect/?focus=oilandgas&amp;zoom=query&amp;querytype=oilandgas&amp;queryvalues=OG_380","OG_380_Map")</f>
        <v>OG_380_Map</v>
      </c>
      <c r="F383" s="1" t="s">
        <v>265</v>
      </c>
      <c r="G383" s="1" t="s">
        <v>266</v>
      </c>
      <c r="H383" s="1" t="s">
        <v>176</v>
      </c>
      <c r="I383" s="1" t="s">
        <v>4606</v>
      </c>
      <c r="J383" s="17" t="s">
        <v>82</v>
      </c>
      <c r="K383" s="17" t="s">
        <v>83</v>
      </c>
      <c r="L383" s="17" t="s">
        <v>101</v>
      </c>
      <c r="M383" s="17"/>
      <c r="N383" s="52" t="s">
        <v>3451</v>
      </c>
      <c r="O383" s="17" t="s">
        <v>270</v>
      </c>
      <c r="P383" s="17" t="s">
        <v>86</v>
      </c>
      <c r="Q383" s="81" t="s">
        <v>4607</v>
      </c>
      <c r="R383" s="11">
        <v>26.257303</v>
      </c>
      <c r="S383" s="11">
        <v>-81.296993999999998</v>
      </c>
      <c r="T383" s="11" t="s">
        <v>4608</v>
      </c>
      <c r="U383" s="11" t="s">
        <v>4609</v>
      </c>
      <c r="V383" s="17" t="s">
        <v>4610</v>
      </c>
      <c r="W383" s="17" t="s">
        <v>110</v>
      </c>
      <c r="X383" s="70">
        <v>34</v>
      </c>
      <c r="Y383" s="70">
        <v>17</v>
      </c>
      <c r="Z383" s="13">
        <v>24650</v>
      </c>
      <c r="AA383" s="13">
        <v>24665</v>
      </c>
      <c r="AB383" s="13"/>
      <c r="AC383" s="13">
        <v>24837</v>
      </c>
      <c r="AD383" s="86">
        <v>12925</v>
      </c>
      <c r="AE383" s="86">
        <v>12925</v>
      </c>
      <c r="AF383" s="70" t="s">
        <v>4611</v>
      </c>
      <c r="AG383" s="17" t="s">
        <v>4612</v>
      </c>
      <c r="AH383" s="17" t="s">
        <v>4613</v>
      </c>
      <c r="AI383" s="70" t="s">
        <v>4614</v>
      </c>
      <c r="AJ383" s="17" t="s">
        <v>94</v>
      </c>
      <c r="AK383" s="17" t="s">
        <v>95</v>
      </c>
      <c r="AL383" s="17" t="s">
        <v>4615</v>
      </c>
      <c r="AM383" s="17" t="s">
        <v>94</v>
      </c>
      <c r="AN383" s="17" t="s">
        <v>4616</v>
      </c>
      <c r="AO383" s="17" t="s">
        <v>98</v>
      </c>
      <c r="AP383" s="17" t="s">
        <v>98</v>
      </c>
      <c r="AQ383" s="17" t="s">
        <v>98</v>
      </c>
      <c r="AR383" s="17" t="s">
        <v>4617</v>
      </c>
      <c r="AS383" s="17" t="s">
        <v>4618</v>
      </c>
      <c r="AT383" s="17"/>
      <c r="AU383" s="30" t="s">
        <v>4619</v>
      </c>
      <c r="AV383" s="14">
        <v>8208</v>
      </c>
      <c r="AW383" s="74"/>
      <c r="AX383" s="1"/>
      <c r="AY383" s="17" t="s">
        <v>101</v>
      </c>
    </row>
    <row r="384" spans="1:51" ht="12.75" customHeight="1" x14ac:dyDescent="0.25">
      <c r="A384" s="5">
        <v>381</v>
      </c>
      <c r="B384" s="9">
        <v>381</v>
      </c>
      <c r="C384" s="9" t="s">
        <v>4620</v>
      </c>
      <c r="D384" s="57" t="str">
        <f>HYPERLINK("http://prodenv.dep.state.fl.us/DepNexus/public/electronic-documents/OG_381/facility!search","OG_381_Docs")</f>
        <v>OG_381_Docs</v>
      </c>
      <c r="E384" s="57" t="str">
        <f>HYPERLINK("https://ca.dep.state.fl.us/mapdirect/?focus=oilandgas&amp;zoom=query&amp;querytype=oilandgas&amp;queryvalues=OG_381","OG_381_Map")</f>
        <v>OG_381_Map</v>
      </c>
      <c r="F384" s="1" t="s">
        <v>265</v>
      </c>
      <c r="G384" s="1" t="s">
        <v>79</v>
      </c>
      <c r="H384" s="1" t="s">
        <v>4621</v>
      </c>
      <c r="I384" s="1" t="s">
        <v>4622</v>
      </c>
      <c r="J384" s="17" t="s">
        <v>82</v>
      </c>
      <c r="K384" s="17" t="s">
        <v>83</v>
      </c>
      <c r="L384" s="17" t="s">
        <v>101</v>
      </c>
      <c r="M384" s="17"/>
      <c r="N384" s="52" t="s">
        <v>3956</v>
      </c>
      <c r="O384" s="17" t="s">
        <v>270</v>
      </c>
      <c r="P384" s="17" t="s">
        <v>3395</v>
      </c>
      <c r="Q384" s="81" t="s">
        <v>4623</v>
      </c>
      <c r="R384" s="11">
        <v>26.205704999999998</v>
      </c>
      <c r="S384" s="11">
        <v>-81.248228999999995</v>
      </c>
      <c r="T384" s="11" t="s">
        <v>4624</v>
      </c>
      <c r="U384" s="11" t="s">
        <v>4625</v>
      </c>
      <c r="V384" s="17" t="s">
        <v>4626</v>
      </c>
      <c r="W384" s="17" t="s">
        <v>110</v>
      </c>
      <c r="X384" s="70">
        <v>35</v>
      </c>
      <c r="Y384" s="70">
        <v>18</v>
      </c>
      <c r="Z384" s="13">
        <v>24678</v>
      </c>
      <c r="AA384" s="13">
        <v>24729</v>
      </c>
      <c r="AB384" s="13">
        <v>24778</v>
      </c>
      <c r="AC384" s="13">
        <v>24781</v>
      </c>
      <c r="AD384" s="86">
        <v>11750</v>
      </c>
      <c r="AE384" s="86">
        <v>11750</v>
      </c>
      <c r="AF384" s="70" t="s">
        <v>94</v>
      </c>
      <c r="AG384" s="17" t="s">
        <v>4627</v>
      </c>
      <c r="AH384" s="17" t="s">
        <v>4628</v>
      </c>
      <c r="AI384" s="70" t="s">
        <v>94</v>
      </c>
      <c r="AJ384" s="17" t="s">
        <v>94</v>
      </c>
      <c r="AK384" s="17" t="s">
        <v>95</v>
      </c>
      <c r="AL384" s="17" t="s">
        <v>4629</v>
      </c>
      <c r="AM384" s="17" t="s">
        <v>94</v>
      </c>
      <c r="AN384" s="17" t="s">
        <v>94</v>
      </c>
      <c r="AO384" s="17" t="s">
        <v>98</v>
      </c>
      <c r="AP384" s="17" t="s">
        <v>98</v>
      </c>
      <c r="AQ384" s="17" t="s">
        <v>98</v>
      </c>
      <c r="AR384" s="17" t="s">
        <v>94</v>
      </c>
      <c r="AS384" s="17" t="s">
        <v>4630</v>
      </c>
      <c r="AT384" s="17"/>
      <c r="AU384" s="30" t="s">
        <v>4631</v>
      </c>
      <c r="AV384" s="14">
        <v>8321</v>
      </c>
      <c r="AW384" s="74"/>
      <c r="AX384" s="1"/>
      <c r="AY384" s="17" t="s">
        <v>101</v>
      </c>
    </row>
    <row r="385" spans="1:51" ht="12.75" customHeight="1" x14ac:dyDescent="0.25">
      <c r="A385" s="5">
        <v>382</v>
      </c>
      <c r="B385" s="9">
        <v>382</v>
      </c>
      <c r="C385" s="9" t="s">
        <v>4632</v>
      </c>
      <c r="D385" s="57" t="str">
        <f>HYPERLINK("http://prodenv.dep.state.fl.us/DepNexus/public/electronic-documents/OG_382/facility!search","OG_382_Docs")</f>
        <v>OG_382_Docs</v>
      </c>
      <c r="E385" s="57" t="str">
        <f>HYPERLINK("https://ca.dep.state.fl.us/mapdirect/?focus=oilandgas&amp;zoom=query&amp;querytype=oilandgas&amp;queryvalues=OG_382","OG_382_Map")</f>
        <v>OG_382_Map</v>
      </c>
      <c r="F385" s="1" t="s">
        <v>4241</v>
      </c>
      <c r="G385" s="1" t="s">
        <v>79</v>
      </c>
      <c r="H385" s="1" t="s">
        <v>4242</v>
      </c>
      <c r="I385" s="1" t="s">
        <v>4633</v>
      </c>
      <c r="J385" s="17" t="s">
        <v>82</v>
      </c>
      <c r="K385" s="17" t="s">
        <v>83</v>
      </c>
      <c r="L385" s="17"/>
      <c r="M385" s="17" t="s">
        <v>101</v>
      </c>
      <c r="N385" s="52" t="s">
        <v>4634</v>
      </c>
      <c r="O385" s="17" t="s">
        <v>609</v>
      </c>
      <c r="P385" s="17" t="s">
        <v>86</v>
      </c>
      <c r="Q385" s="81" t="s">
        <v>609</v>
      </c>
      <c r="R385" s="11">
        <v>28.833583999999998</v>
      </c>
      <c r="S385" s="11">
        <v>-82.828181999999998</v>
      </c>
      <c r="T385" s="11" t="s">
        <v>4635</v>
      </c>
      <c r="U385" s="11" t="s">
        <v>4636</v>
      </c>
      <c r="V385" s="17" t="s">
        <v>233</v>
      </c>
      <c r="W385" s="17" t="s">
        <v>110</v>
      </c>
      <c r="X385" s="70">
        <v>11</v>
      </c>
      <c r="Y385" s="70"/>
      <c r="Z385" s="13">
        <v>24685</v>
      </c>
      <c r="AA385" s="13">
        <v>24783</v>
      </c>
      <c r="AB385" s="13">
        <v>24803</v>
      </c>
      <c r="AC385" s="13">
        <v>24803</v>
      </c>
      <c r="AD385" s="86">
        <v>6041</v>
      </c>
      <c r="AE385" s="86">
        <v>6041</v>
      </c>
      <c r="AF385" s="70" t="s">
        <v>94</v>
      </c>
      <c r="AG385" s="17" t="s">
        <v>4637</v>
      </c>
      <c r="AH385" s="17" t="s">
        <v>4638</v>
      </c>
      <c r="AI385" s="70" t="s">
        <v>94</v>
      </c>
      <c r="AJ385" s="17" t="s">
        <v>94</v>
      </c>
      <c r="AK385" s="17" t="s">
        <v>95</v>
      </c>
      <c r="AL385" s="17" t="s">
        <v>4639</v>
      </c>
      <c r="AM385" s="17" t="s">
        <v>94</v>
      </c>
      <c r="AN385" s="17" t="s">
        <v>4640</v>
      </c>
      <c r="AO385" s="17" t="s">
        <v>98</v>
      </c>
      <c r="AP385" s="17" t="s">
        <v>98</v>
      </c>
      <c r="AQ385" s="17" t="s">
        <v>98</v>
      </c>
      <c r="AR385" s="17" t="s">
        <v>94</v>
      </c>
      <c r="AS385" s="17" t="s">
        <v>4641</v>
      </c>
      <c r="AT385" s="17">
        <v>110</v>
      </c>
      <c r="AU385" s="30" t="s">
        <v>4642</v>
      </c>
      <c r="AV385" s="14">
        <v>8304</v>
      </c>
      <c r="AW385" s="74"/>
      <c r="AX385" s="1"/>
      <c r="AY385" s="17" t="s">
        <v>101</v>
      </c>
    </row>
    <row r="386" spans="1:51" ht="12.75" customHeight="1" x14ac:dyDescent="0.25">
      <c r="A386" s="5">
        <v>383</v>
      </c>
      <c r="B386" s="9">
        <v>383</v>
      </c>
      <c r="C386" s="9" t="s">
        <v>4643</v>
      </c>
      <c r="D386" s="57" t="str">
        <f>HYPERLINK("http://prodenv.dep.state.fl.us/DepNexus/public/electronic-documents/OG_383/facility!search","OG_383_Docs")</f>
        <v>OG_383_Docs</v>
      </c>
      <c r="E386" s="57" t="str">
        <f>HYPERLINK("https://ca.dep.state.fl.us/mapdirect/?focus=oilandgas&amp;zoom=query&amp;querytype=oilandgas&amp;queryvalues=OG_383","OG_383_Map")</f>
        <v>OG_383_Map</v>
      </c>
      <c r="F386" s="1" t="s">
        <v>241</v>
      </c>
      <c r="G386" s="1" t="s">
        <v>79</v>
      </c>
      <c r="H386" s="1" t="s">
        <v>4242</v>
      </c>
      <c r="I386" s="1" t="s">
        <v>4644</v>
      </c>
      <c r="J386" s="17" t="s">
        <v>82</v>
      </c>
      <c r="K386" s="17" t="s">
        <v>83</v>
      </c>
      <c r="L386" s="17"/>
      <c r="M386" s="17" t="s">
        <v>101</v>
      </c>
      <c r="N386" s="52" t="s">
        <v>3956</v>
      </c>
      <c r="O386" s="17" t="s">
        <v>609</v>
      </c>
      <c r="P386" s="17" t="s">
        <v>86</v>
      </c>
      <c r="Q386" s="81" t="s">
        <v>609</v>
      </c>
      <c r="R386" s="11">
        <v>29.090242</v>
      </c>
      <c r="S386" s="11">
        <v>-82.920962000000003</v>
      </c>
      <c r="T386" s="11" t="s">
        <v>4645</v>
      </c>
      <c r="U386" s="11" t="s">
        <v>4646</v>
      </c>
      <c r="V386" s="17" t="s">
        <v>233</v>
      </c>
      <c r="W386" s="17" t="s">
        <v>110</v>
      </c>
      <c r="X386" s="70">
        <v>16</v>
      </c>
      <c r="Y386" s="70"/>
      <c r="Z386" s="13">
        <v>24685</v>
      </c>
      <c r="AA386" s="13">
        <v>24803</v>
      </c>
      <c r="AB386" s="13">
        <v>24816</v>
      </c>
      <c r="AC386" s="13">
        <v>24816</v>
      </c>
      <c r="AD386" s="86">
        <v>4735</v>
      </c>
      <c r="AE386" s="86">
        <v>4735</v>
      </c>
      <c r="AF386" s="70" t="s">
        <v>94</v>
      </c>
      <c r="AG386" s="17" t="s">
        <v>4647</v>
      </c>
      <c r="AH386" s="17" t="s">
        <v>4648</v>
      </c>
      <c r="AI386" s="70" t="s">
        <v>94</v>
      </c>
      <c r="AJ386" s="17" t="s">
        <v>94</v>
      </c>
      <c r="AK386" s="17" t="s">
        <v>95</v>
      </c>
      <c r="AL386" s="17" t="s">
        <v>4649</v>
      </c>
      <c r="AM386" s="17" t="s">
        <v>94</v>
      </c>
      <c r="AN386" s="17" t="s">
        <v>86</v>
      </c>
      <c r="AO386" s="17" t="s">
        <v>98</v>
      </c>
      <c r="AP386" s="17" t="s">
        <v>98</v>
      </c>
      <c r="AQ386" s="17" t="s">
        <v>98</v>
      </c>
      <c r="AR386" s="17" t="s">
        <v>94</v>
      </c>
      <c r="AS386" s="17" t="s">
        <v>4650</v>
      </c>
      <c r="AT386" s="17">
        <v>115</v>
      </c>
      <c r="AU386" s="30" t="s">
        <v>4651</v>
      </c>
      <c r="AV386" s="14">
        <v>8305</v>
      </c>
      <c r="AW386" s="74"/>
      <c r="AX386" s="1"/>
      <c r="AY386" s="17" t="s">
        <v>101</v>
      </c>
    </row>
    <row r="387" spans="1:51" ht="12.75" customHeight="1" x14ac:dyDescent="0.25">
      <c r="A387" s="5">
        <v>384</v>
      </c>
      <c r="B387" s="9">
        <v>384</v>
      </c>
      <c r="C387" s="9" t="s">
        <v>4652</v>
      </c>
      <c r="D387" s="57" t="str">
        <f>HYPERLINK("http://prodenv.dep.state.fl.us/DepNexus/public/electronic-documents/OG_384/facility!search","OG_384_Docs")</f>
        <v>OG_384_Docs</v>
      </c>
      <c r="E387" s="57" t="str">
        <f>HYPERLINK("https://ca.dep.state.fl.us/mapdirect/?focus=oilandgas&amp;zoom=query&amp;querytype=oilandgas&amp;queryvalues=OG_384","OG_384_Map")</f>
        <v>OG_384_Map</v>
      </c>
      <c r="F387" s="1" t="s">
        <v>265</v>
      </c>
      <c r="G387" s="1" t="s">
        <v>266</v>
      </c>
      <c r="H387" s="1" t="s">
        <v>176</v>
      </c>
      <c r="I387" s="1" t="s">
        <v>4653</v>
      </c>
      <c r="J387" s="17" t="s">
        <v>268</v>
      </c>
      <c r="K387" s="17" t="s">
        <v>412</v>
      </c>
      <c r="L387" s="17"/>
      <c r="M387" s="17" t="s">
        <v>101</v>
      </c>
      <c r="N387" s="52" t="s">
        <v>3956</v>
      </c>
      <c r="O387" s="17" t="s">
        <v>270</v>
      </c>
      <c r="P387" s="17" t="s">
        <v>86</v>
      </c>
      <c r="Q387" s="81" t="s">
        <v>414</v>
      </c>
      <c r="R387" s="11">
        <v>26.293261999999999</v>
      </c>
      <c r="S387" s="11">
        <v>-81.353804999999994</v>
      </c>
      <c r="T387" s="11" t="s">
        <v>4654</v>
      </c>
      <c r="U387" s="11" t="s">
        <v>4655</v>
      </c>
      <c r="V387" s="17" t="s">
        <v>4656</v>
      </c>
      <c r="W387" s="17" t="s">
        <v>110</v>
      </c>
      <c r="X387" s="70">
        <v>34</v>
      </c>
      <c r="Y387" s="70">
        <v>19</v>
      </c>
      <c r="Z387" s="13">
        <v>24699</v>
      </c>
      <c r="AA387" s="13">
        <v>24782</v>
      </c>
      <c r="AB387" s="13">
        <v>24943</v>
      </c>
      <c r="AC387" s="13">
        <v>32017</v>
      </c>
      <c r="AD387" s="86">
        <v>11705</v>
      </c>
      <c r="AE387" s="86">
        <v>11705</v>
      </c>
      <c r="AF387" s="70" t="s">
        <v>4657</v>
      </c>
      <c r="AG387" s="17" t="s">
        <v>4658</v>
      </c>
      <c r="AH387" s="17" t="s">
        <v>4659</v>
      </c>
      <c r="AI387" s="70" t="s">
        <v>4660</v>
      </c>
      <c r="AJ387" s="17" t="s">
        <v>94</v>
      </c>
      <c r="AK387" s="17" t="s">
        <v>95</v>
      </c>
      <c r="AL387" s="17" t="s">
        <v>94</v>
      </c>
      <c r="AM387" s="17" t="s">
        <v>94</v>
      </c>
      <c r="AN387" s="17" t="s">
        <v>86</v>
      </c>
      <c r="AO387" s="17" t="s">
        <v>4661</v>
      </c>
      <c r="AP387" s="17" t="s">
        <v>4176</v>
      </c>
      <c r="AQ387" s="17" t="s">
        <v>4662</v>
      </c>
      <c r="AR387" s="17" t="s">
        <v>4663</v>
      </c>
      <c r="AS387" s="17" t="s">
        <v>4664</v>
      </c>
      <c r="AT387" s="17">
        <v>178</v>
      </c>
      <c r="AU387" s="30" t="s">
        <v>4665</v>
      </c>
      <c r="AV387" s="14">
        <v>8385</v>
      </c>
      <c r="AW387" s="74"/>
      <c r="AX387" s="1"/>
      <c r="AY387" s="17" t="s">
        <v>101</v>
      </c>
    </row>
    <row r="388" spans="1:51" ht="15" customHeight="1" x14ac:dyDescent="0.25">
      <c r="A388" s="5">
        <v>385</v>
      </c>
      <c r="B388" s="9">
        <v>385</v>
      </c>
      <c r="C388" s="9" t="s">
        <v>4666</v>
      </c>
      <c r="D388" s="57" t="str">
        <f>HYPERLINK("http://prodenv.dep.state.fl.us/DepNexus/public/electronic-documents/OG_385/facility!search","OG_385_Docs")</f>
        <v>OG_385_Docs</v>
      </c>
      <c r="E388" s="57" t="str">
        <f>HYPERLINK("https://ca.dep.state.fl.us/mapdirect/?focus=oilandgas&amp;zoom=query&amp;querytype=oilandgas&amp;queryvalues=OG_385","OG_385_Map")</f>
        <v>OG_385_Map</v>
      </c>
      <c r="F388" s="1" t="s">
        <v>665</v>
      </c>
      <c r="G388" s="1" t="s">
        <v>79</v>
      </c>
      <c r="H388" s="1" t="s">
        <v>2806</v>
      </c>
      <c r="I388" s="1" t="s">
        <v>4667</v>
      </c>
      <c r="J388" s="17" t="s">
        <v>82</v>
      </c>
      <c r="K388" s="17" t="s">
        <v>83</v>
      </c>
      <c r="L388" s="17"/>
      <c r="M388" s="17" t="s">
        <v>101</v>
      </c>
      <c r="N388" s="52" t="s">
        <v>4548</v>
      </c>
      <c r="O388" s="17" t="s">
        <v>86</v>
      </c>
      <c r="P388" s="17" t="s">
        <v>86</v>
      </c>
      <c r="Q388" s="81" t="s">
        <v>4668</v>
      </c>
      <c r="R388" s="11">
        <v>26.723012000000001</v>
      </c>
      <c r="S388" s="11">
        <v>-80.447642999999999</v>
      </c>
      <c r="T388" s="11" t="s">
        <v>4669</v>
      </c>
      <c r="U388" s="11" t="s">
        <v>4670</v>
      </c>
      <c r="V388" s="17" t="s">
        <v>4671</v>
      </c>
      <c r="W388" s="17" t="s">
        <v>110</v>
      </c>
      <c r="X388" s="70">
        <v>30</v>
      </c>
      <c r="Y388" s="70">
        <v>14</v>
      </c>
      <c r="Z388" s="13">
        <v>24874</v>
      </c>
      <c r="AA388" s="13">
        <v>24879</v>
      </c>
      <c r="AB388" s="13">
        <v>24923</v>
      </c>
      <c r="AC388" s="13">
        <v>24923</v>
      </c>
      <c r="AD388" s="86">
        <v>10905</v>
      </c>
      <c r="AE388" s="86">
        <v>10905</v>
      </c>
      <c r="AF388" s="70" t="s">
        <v>4672</v>
      </c>
      <c r="AG388" s="17" t="s">
        <v>3184</v>
      </c>
      <c r="AH388" s="17" t="s">
        <v>4673</v>
      </c>
      <c r="AI388" s="70" t="s">
        <v>94</v>
      </c>
      <c r="AJ388" s="17" t="s">
        <v>94</v>
      </c>
      <c r="AK388" s="17" t="s">
        <v>95</v>
      </c>
      <c r="AL388" s="17" t="s">
        <v>4674</v>
      </c>
      <c r="AM388" s="17" t="s">
        <v>94</v>
      </c>
      <c r="AN388" s="17" t="s">
        <v>4675</v>
      </c>
      <c r="AO388" s="17" t="s">
        <v>98</v>
      </c>
      <c r="AP388" s="17" t="s">
        <v>98</v>
      </c>
      <c r="AQ388" s="17" t="s">
        <v>98</v>
      </c>
      <c r="AR388" s="17" t="s">
        <v>94</v>
      </c>
      <c r="AS388" s="17" t="s">
        <v>4676</v>
      </c>
      <c r="AT388" s="17">
        <v>130</v>
      </c>
      <c r="AU388" s="30" t="s">
        <v>4677</v>
      </c>
      <c r="AV388" s="14">
        <v>8322</v>
      </c>
      <c r="AW388" s="74"/>
      <c r="AX388" s="1"/>
      <c r="AY388" s="17" t="s">
        <v>101</v>
      </c>
    </row>
    <row r="389" spans="1:51" ht="12.75" customHeight="1" x14ac:dyDescent="0.25">
      <c r="A389" s="5">
        <v>386</v>
      </c>
      <c r="B389" s="9">
        <v>386</v>
      </c>
      <c r="C389" s="9" t="s">
        <v>4678</v>
      </c>
      <c r="D389" s="57" t="str">
        <f>HYPERLINK("http://prodenv.dep.state.fl.us/DepNexus/public/electronic-documents/OG_386/facility!search","OG_386_Docs")</f>
        <v>OG_386_Docs</v>
      </c>
      <c r="E389" s="57" t="str">
        <f>HYPERLINK("https://ca.dep.state.fl.us/mapdirect/?focus=oilandgas&amp;zoom=query&amp;querytype=oilandgas&amp;queryvalues=OG_386","OG_386_Map")</f>
        <v>OG_386_Map</v>
      </c>
      <c r="F389" s="1" t="s">
        <v>204</v>
      </c>
      <c r="G389" s="1" t="s">
        <v>2103</v>
      </c>
      <c r="H389" s="1" t="s">
        <v>4559</v>
      </c>
      <c r="I389" s="1" t="s">
        <v>4679</v>
      </c>
      <c r="J389" s="17" t="s">
        <v>82</v>
      </c>
      <c r="K389" s="17" t="s">
        <v>83</v>
      </c>
      <c r="L389" s="17"/>
      <c r="M389" s="17" t="s">
        <v>84</v>
      </c>
      <c r="N389" s="52" t="s">
        <v>4582</v>
      </c>
      <c r="O389" s="17" t="s">
        <v>86</v>
      </c>
      <c r="P389" s="17" t="s">
        <v>86</v>
      </c>
      <c r="Q389" s="81" t="s">
        <v>4680</v>
      </c>
      <c r="R389" s="11">
        <v>25.762899999999998</v>
      </c>
      <c r="S389" s="11">
        <v>-80.842532000000006</v>
      </c>
      <c r="T389" s="11" t="s">
        <v>4681</v>
      </c>
      <c r="U389" s="11" t="s">
        <v>4682</v>
      </c>
      <c r="V389" s="17" t="s">
        <v>4683</v>
      </c>
      <c r="W389" s="17" t="s">
        <v>110</v>
      </c>
      <c r="X389" s="70">
        <v>25</v>
      </c>
      <c r="Y389" s="70">
        <v>9</v>
      </c>
      <c r="Z389" s="13">
        <v>24909</v>
      </c>
      <c r="AA389" s="13">
        <v>24936</v>
      </c>
      <c r="AB389" s="13">
        <v>24970</v>
      </c>
      <c r="AC389" s="13">
        <v>24970</v>
      </c>
      <c r="AD389" s="86">
        <v>11603</v>
      </c>
      <c r="AE389" s="86">
        <v>11603</v>
      </c>
      <c r="AF389" s="70" t="s">
        <v>2031</v>
      </c>
      <c r="AG389" s="17" t="s">
        <v>4684</v>
      </c>
      <c r="AH389" s="17" t="s">
        <v>4685</v>
      </c>
      <c r="AI389" s="70" t="s">
        <v>94</v>
      </c>
      <c r="AJ389" s="17" t="s">
        <v>94</v>
      </c>
      <c r="AK389" s="17" t="s">
        <v>95</v>
      </c>
      <c r="AL389" s="17" t="s">
        <v>4686</v>
      </c>
      <c r="AM389" s="17" t="s">
        <v>94</v>
      </c>
      <c r="AN389" s="17" t="s">
        <v>4687</v>
      </c>
      <c r="AO389" s="17" t="s">
        <v>98</v>
      </c>
      <c r="AP389" s="17" t="s">
        <v>98</v>
      </c>
      <c r="AQ389" s="17" t="s">
        <v>98</v>
      </c>
      <c r="AR389" s="17" t="s">
        <v>94</v>
      </c>
      <c r="AS389" s="17" t="s">
        <v>4688</v>
      </c>
      <c r="AT389" s="17">
        <v>166</v>
      </c>
      <c r="AU389" s="30" t="s">
        <v>4689</v>
      </c>
      <c r="AV389" s="14">
        <v>8387</v>
      </c>
      <c r="AW389" s="74"/>
      <c r="AX389" s="1"/>
      <c r="AY389" s="17" t="s">
        <v>101</v>
      </c>
    </row>
    <row r="390" spans="1:51" ht="12.75" customHeight="1" x14ac:dyDescent="0.25">
      <c r="A390" s="5">
        <v>387</v>
      </c>
      <c r="B390" s="9">
        <v>387</v>
      </c>
      <c r="C390" s="9" t="s">
        <v>4690</v>
      </c>
      <c r="D390" s="57" t="str">
        <f>HYPERLINK("http://prodenv.dep.state.fl.us/DepNexus/public/electronic-documents/OG_387/facility!search","OG_387_Docs")</f>
        <v>OG_387_Docs</v>
      </c>
      <c r="E390" s="57" t="str">
        <f>HYPERLINK("https://ca.dep.state.fl.us/mapdirect/?focus=oilandgas&amp;zoom=query&amp;querytype=oilandgas&amp;queryvalues=OG_387","OG_387_Map")</f>
        <v>OG_387_Map</v>
      </c>
      <c r="F390" s="1" t="s">
        <v>191</v>
      </c>
      <c r="G390" s="1" t="s">
        <v>79</v>
      </c>
      <c r="H390" s="1" t="s">
        <v>4242</v>
      </c>
      <c r="I390" s="1" t="s">
        <v>4691</v>
      </c>
      <c r="J390" s="17" t="s">
        <v>82</v>
      </c>
      <c r="K390" s="17" t="s">
        <v>83</v>
      </c>
      <c r="L390" s="17"/>
      <c r="M390" s="17" t="s">
        <v>101</v>
      </c>
      <c r="N390" s="52" t="s">
        <v>3956</v>
      </c>
      <c r="O390" s="17" t="s">
        <v>609</v>
      </c>
      <c r="P390" s="17" t="s">
        <v>86</v>
      </c>
      <c r="Q390" s="81" t="s">
        <v>609</v>
      </c>
      <c r="R390" s="11">
        <v>29.631892000000001</v>
      </c>
      <c r="S390" s="11">
        <v>-85.001570000000001</v>
      </c>
      <c r="T390" s="11" t="s">
        <v>4692</v>
      </c>
      <c r="U390" s="11" t="s">
        <v>4693</v>
      </c>
      <c r="V390" s="17" t="s">
        <v>233</v>
      </c>
      <c r="W390" s="17" t="s">
        <v>110</v>
      </c>
      <c r="X390" s="70">
        <v>33</v>
      </c>
      <c r="Y390" s="70"/>
      <c r="Z390" s="13">
        <v>24916</v>
      </c>
      <c r="AA390" s="13">
        <v>24975</v>
      </c>
      <c r="AB390" s="13">
        <v>25034</v>
      </c>
      <c r="AC390" s="13">
        <v>25034</v>
      </c>
      <c r="AD390" s="86">
        <v>14369</v>
      </c>
      <c r="AE390" s="86">
        <v>14369</v>
      </c>
      <c r="AF390" s="70" t="s">
        <v>4694</v>
      </c>
      <c r="AG390" s="17" t="s">
        <v>4695</v>
      </c>
      <c r="AH390" s="17" t="s">
        <v>4696</v>
      </c>
      <c r="AI390" s="70" t="s">
        <v>94</v>
      </c>
      <c r="AJ390" s="17" t="s">
        <v>94</v>
      </c>
      <c r="AK390" s="17" t="s">
        <v>95</v>
      </c>
      <c r="AL390" s="17" t="s">
        <v>4697</v>
      </c>
      <c r="AM390" s="17" t="s">
        <v>825</v>
      </c>
      <c r="AN390" s="17" t="s">
        <v>94</v>
      </c>
      <c r="AO390" s="17" t="s">
        <v>98</v>
      </c>
      <c r="AP390" s="17" t="s">
        <v>98</v>
      </c>
      <c r="AQ390" s="17" t="s">
        <v>98</v>
      </c>
      <c r="AR390" s="17" t="s">
        <v>94</v>
      </c>
      <c r="AS390" s="17" t="s">
        <v>4698</v>
      </c>
      <c r="AT390" s="17">
        <v>240</v>
      </c>
      <c r="AU390" s="30" t="s">
        <v>4699</v>
      </c>
      <c r="AV390" s="14">
        <v>8487</v>
      </c>
      <c r="AW390" s="74"/>
      <c r="AX390" s="1" t="s">
        <v>4700</v>
      </c>
      <c r="AY390" s="17" t="s">
        <v>101</v>
      </c>
    </row>
    <row r="391" spans="1:51" ht="12.75" customHeight="1" x14ac:dyDescent="0.25">
      <c r="A391" s="5">
        <v>388</v>
      </c>
      <c r="B391" s="9">
        <v>388</v>
      </c>
      <c r="C391" s="9" t="s">
        <v>4701</v>
      </c>
      <c r="D391" s="57" t="str">
        <f>HYPERLINK("http://prodenv.dep.state.fl.us/DepNexus/public/electronic-documents/OG_388/facility!search","OG_388_Docs")</f>
        <v>OG_388_Docs</v>
      </c>
      <c r="E391" s="57" t="str">
        <f>HYPERLINK("https://ca.dep.state.fl.us/mapdirect/?focus=oilandgas&amp;zoom=query&amp;querytype=oilandgas&amp;queryvalues=OG_388","OG_388_Map")</f>
        <v>OG_388_Map</v>
      </c>
      <c r="F391" s="1" t="s">
        <v>1752</v>
      </c>
      <c r="G391" s="1" t="s">
        <v>3668</v>
      </c>
      <c r="H391" s="1" t="s">
        <v>3669</v>
      </c>
      <c r="I391" s="1" t="s">
        <v>4702</v>
      </c>
      <c r="J391" s="17" t="s">
        <v>82</v>
      </c>
      <c r="K391" s="17" t="s">
        <v>83</v>
      </c>
      <c r="L391" s="17"/>
      <c r="M391" s="17"/>
      <c r="N391" s="52" t="s">
        <v>3956</v>
      </c>
      <c r="O391" s="17" t="s">
        <v>86</v>
      </c>
      <c r="P391" s="17" t="s">
        <v>86</v>
      </c>
      <c r="Q391" s="81" t="s">
        <v>4703</v>
      </c>
      <c r="R391" s="11">
        <v>26.538207</v>
      </c>
      <c r="S391" s="11">
        <v>-81.487318000000002</v>
      </c>
      <c r="T391" s="11" t="s">
        <v>4704</v>
      </c>
      <c r="U391" s="11" t="s">
        <v>4705</v>
      </c>
      <c r="V391" s="17" t="s">
        <v>4706</v>
      </c>
      <c r="W391" s="17" t="s">
        <v>110</v>
      </c>
      <c r="X391" s="70">
        <v>54</v>
      </c>
      <c r="Y391" s="70">
        <v>36</v>
      </c>
      <c r="Z391" s="13">
        <v>24979</v>
      </c>
      <c r="AA391" s="13">
        <v>24979</v>
      </c>
      <c r="AB391" s="13"/>
      <c r="AC391" s="13">
        <v>25026</v>
      </c>
      <c r="AD391" s="86">
        <v>11549</v>
      </c>
      <c r="AE391" s="86">
        <v>11549</v>
      </c>
      <c r="AF391" s="70" t="s">
        <v>4707</v>
      </c>
      <c r="AG391" s="17" t="s">
        <v>4449</v>
      </c>
      <c r="AH391" s="17" t="s">
        <v>4708</v>
      </c>
      <c r="AI391" s="70" t="s">
        <v>94</v>
      </c>
      <c r="AJ391" s="17" t="s">
        <v>94</v>
      </c>
      <c r="AK391" s="17" t="s">
        <v>95</v>
      </c>
      <c r="AL391" s="17" t="s">
        <v>4709</v>
      </c>
      <c r="AM391" s="17" t="s">
        <v>825</v>
      </c>
      <c r="AN391" s="17" t="s">
        <v>4710</v>
      </c>
      <c r="AO391" s="17" t="s">
        <v>98</v>
      </c>
      <c r="AP391" s="17" t="s">
        <v>98</v>
      </c>
      <c r="AQ391" s="17" t="s">
        <v>98</v>
      </c>
      <c r="AR391" s="17" t="s">
        <v>94</v>
      </c>
      <c r="AS391" s="17" t="s">
        <v>4711</v>
      </c>
      <c r="AT391" s="17"/>
      <c r="AU391" s="30" t="s">
        <v>4712</v>
      </c>
      <c r="AV391" s="14">
        <v>8434</v>
      </c>
      <c r="AW391" s="74"/>
      <c r="AX391" s="1"/>
      <c r="AY391" s="17" t="s">
        <v>101</v>
      </c>
    </row>
    <row r="392" spans="1:51" ht="12.75" customHeight="1" x14ac:dyDescent="0.25">
      <c r="A392" s="5">
        <v>389</v>
      </c>
      <c r="B392" s="9">
        <v>389</v>
      </c>
      <c r="C392" s="9" t="s">
        <v>4713</v>
      </c>
      <c r="D392" s="57" t="str">
        <f>HYPERLINK("http://prodenv.dep.state.fl.us/DepNexus/public/electronic-documents/OG_389/facility!search","OG_389_Docs")</f>
        <v>OG_389_Docs</v>
      </c>
      <c r="E392" s="57" t="str">
        <f>HYPERLINK("https://ca.dep.state.fl.us/mapdirect/?focus=oilandgas&amp;zoom=query&amp;querytype=oilandgas&amp;queryvalues=OG_389","OG_389_Map")</f>
        <v>OG_389_Map</v>
      </c>
      <c r="F392" s="1" t="s">
        <v>1752</v>
      </c>
      <c r="G392" s="1" t="s">
        <v>4496</v>
      </c>
      <c r="H392" s="1" t="s">
        <v>3669</v>
      </c>
      <c r="I392" s="1" t="s">
        <v>4714</v>
      </c>
      <c r="J392" s="17" t="s">
        <v>268</v>
      </c>
      <c r="K392" s="17" t="s">
        <v>412</v>
      </c>
      <c r="L392" s="17"/>
      <c r="M392" s="17"/>
      <c r="N392" s="52" t="s">
        <v>3956</v>
      </c>
      <c r="O392" s="17" t="s">
        <v>86</v>
      </c>
      <c r="P392" s="17" t="s">
        <v>86</v>
      </c>
      <c r="Q392" s="81" t="s">
        <v>4715</v>
      </c>
      <c r="R392" s="11">
        <v>26.539345999999998</v>
      </c>
      <c r="S392" s="11">
        <v>-81.518062999999998</v>
      </c>
      <c r="T392" s="11" t="s">
        <v>4716</v>
      </c>
      <c r="U392" s="11" t="s">
        <v>4717</v>
      </c>
      <c r="V392" s="17" t="s">
        <v>4718</v>
      </c>
      <c r="W392" s="17" t="s">
        <v>110</v>
      </c>
      <c r="X392" s="70">
        <v>49</v>
      </c>
      <c r="Y392" s="70">
        <v>31</v>
      </c>
      <c r="Z392" s="13">
        <v>25014</v>
      </c>
      <c r="AA392" s="13">
        <v>25024</v>
      </c>
      <c r="AB392" s="13">
        <v>25081</v>
      </c>
      <c r="AC392" s="13">
        <v>32636</v>
      </c>
      <c r="AD392" s="86">
        <v>11509</v>
      </c>
      <c r="AE392" s="86">
        <v>11509</v>
      </c>
      <c r="AF392" s="70" t="s">
        <v>4719</v>
      </c>
      <c r="AG392" s="17" t="s">
        <v>4720</v>
      </c>
      <c r="AH392" s="17" t="s">
        <v>4721</v>
      </c>
      <c r="AI392" s="70" t="s">
        <v>4722</v>
      </c>
      <c r="AJ392" s="17" t="s">
        <v>4723</v>
      </c>
      <c r="AK392" s="17" t="s">
        <v>95</v>
      </c>
      <c r="AL392" s="17" t="s">
        <v>4724</v>
      </c>
      <c r="AM392" s="17" t="s">
        <v>825</v>
      </c>
      <c r="AN392" s="17" t="s">
        <v>4725</v>
      </c>
      <c r="AO392" s="17" t="s">
        <v>4726</v>
      </c>
      <c r="AP392" s="17" t="s">
        <v>4727</v>
      </c>
      <c r="AQ392" s="17" t="s">
        <v>4728</v>
      </c>
      <c r="AR392" s="17" t="s">
        <v>4729</v>
      </c>
      <c r="AS392" s="17" t="s">
        <v>4730</v>
      </c>
      <c r="AT392" s="17"/>
      <c r="AU392" s="30" t="s">
        <v>4731</v>
      </c>
      <c r="AV392" s="14">
        <v>8609</v>
      </c>
      <c r="AW392" s="74"/>
      <c r="AX392" s="1"/>
      <c r="AY392" s="17" t="s">
        <v>101</v>
      </c>
    </row>
    <row r="393" spans="1:51" ht="15" customHeight="1" x14ac:dyDescent="0.25">
      <c r="A393" s="5">
        <v>390</v>
      </c>
      <c r="B393" s="9">
        <v>390</v>
      </c>
      <c r="C393" s="9" t="s">
        <v>4732</v>
      </c>
      <c r="D393" s="57" t="str">
        <f>HYPERLINK("http://prodenv.dep.state.fl.us/DepNexus/public/electronic-documents/OG_390/facility!search","OG_390_Docs")</f>
        <v>OG_390_Docs</v>
      </c>
      <c r="E393" s="57" t="str">
        <f>HYPERLINK("https://ca.dep.state.fl.us/mapdirect/?focus=oilandgas&amp;zoom=query&amp;querytype=oilandgas&amp;queryvalues=OG_390","OG_390_Map")</f>
        <v>OG_390_Map</v>
      </c>
      <c r="F393" s="1" t="s">
        <v>1041</v>
      </c>
      <c r="G393" s="1" t="s">
        <v>79</v>
      </c>
      <c r="H393" s="1" t="s">
        <v>4733</v>
      </c>
      <c r="I393" s="1" t="s">
        <v>4734</v>
      </c>
      <c r="J393" s="17" t="s">
        <v>82</v>
      </c>
      <c r="K393" s="17" t="s">
        <v>83</v>
      </c>
      <c r="L393" s="17"/>
      <c r="M393" s="17"/>
      <c r="N393" s="52" t="s">
        <v>4735</v>
      </c>
      <c r="O393" s="17" t="s">
        <v>86</v>
      </c>
      <c r="P393" s="17" t="s">
        <v>86</v>
      </c>
      <c r="Q393" s="81" t="s">
        <v>4736</v>
      </c>
      <c r="R393" s="11">
        <v>29.968111</v>
      </c>
      <c r="S393" s="11">
        <v>-82.649147999999997</v>
      </c>
      <c r="T393" s="11" t="s">
        <v>4737</v>
      </c>
      <c r="U393" s="11" t="s">
        <v>4738</v>
      </c>
      <c r="V393" s="17" t="s">
        <v>212</v>
      </c>
      <c r="W393" s="17" t="s">
        <v>110</v>
      </c>
      <c r="X393" s="70">
        <v>96</v>
      </c>
      <c r="Y393" s="70">
        <v>90</v>
      </c>
      <c r="Z393" s="13">
        <v>25021</v>
      </c>
      <c r="AA393" s="13">
        <v>25043</v>
      </c>
      <c r="AB393" s="13">
        <v>25064</v>
      </c>
      <c r="AC393" s="13">
        <v>25064</v>
      </c>
      <c r="AD393" s="86">
        <v>3097</v>
      </c>
      <c r="AE393" s="86">
        <v>3097</v>
      </c>
      <c r="AF393" s="70" t="s">
        <v>4739</v>
      </c>
      <c r="AG393" s="17" t="s">
        <v>4740</v>
      </c>
      <c r="AH393" s="17" t="s">
        <v>94</v>
      </c>
      <c r="AI393" s="70" t="s">
        <v>94</v>
      </c>
      <c r="AJ393" s="17" t="s">
        <v>94</v>
      </c>
      <c r="AK393" s="17" t="s">
        <v>95</v>
      </c>
      <c r="AL393" s="17" t="s">
        <v>4741</v>
      </c>
      <c r="AM393" s="17" t="s">
        <v>95</v>
      </c>
      <c r="AN393" s="17" t="s">
        <v>4742</v>
      </c>
      <c r="AO393" s="17" t="s">
        <v>98</v>
      </c>
      <c r="AP393" s="17" t="s">
        <v>98</v>
      </c>
      <c r="AQ393" s="17" t="s">
        <v>98</v>
      </c>
      <c r="AR393" s="17" t="s">
        <v>94</v>
      </c>
      <c r="AS393" s="17" t="s">
        <v>4743</v>
      </c>
      <c r="AT393" s="17">
        <v>100</v>
      </c>
      <c r="AU393" s="30" t="s">
        <v>4744</v>
      </c>
      <c r="AV393" s="14">
        <v>8586</v>
      </c>
      <c r="AW393" s="74"/>
      <c r="AX393" s="1"/>
      <c r="AY393" s="17" t="s">
        <v>101</v>
      </c>
    </row>
    <row r="394" spans="1:51" ht="12.75" customHeight="1" x14ac:dyDescent="0.25">
      <c r="A394" s="5">
        <v>391</v>
      </c>
      <c r="B394" s="9">
        <v>391</v>
      </c>
      <c r="C394" s="9" t="s">
        <v>4745</v>
      </c>
      <c r="D394" s="57" t="str">
        <f>HYPERLINK("http://prodenv.dep.state.fl.us/DepNexus/public/electronic-documents/OG_391/facility!search","OG_391_Docs")</f>
        <v>OG_391_Docs</v>
      </c>
      <c r="E394" s="57" t="str">
        <f>HYPERLINK("https://ca.dep.state.fl.us/mapdirect/?focus=oilandgas&amp;zoom=query&amp;querytype=oilandgas&amp;queryvalues=OG_391","OG_391_Map")</f>
        <v>OG_391_Map</v>
      </c>
      <c r="F394" s="1" t="s">
        <v>78</v>
      </c>
      <c r="G394" s="1" t="s">
        <v>79</v>
      </c>
      <c r="H394" s="1" t="s">
        <v>4064</v>
      </c>
      <c r="I394" s="1" t="s">
        <v>4746</v>
      </c>
      <c r="J394" s="17" t="s">
        <v>82</v>
      </c>
      <c r="K394" s="17" t="s">
        <v>83</v>
      </c>
      <c r="L394" s="17"/>
      <c r="M394" s="17" t="s">
        <v>84</v>
      </c>
      <c r="N394" s="52" t="s">
        <v>3688</v>
      </c>
      <c r="O394" s="17" t="s">
        <v>86</v>
      </c>
      <c r="P394" s="17" t="s">
        <v>86</v>
      </c>
      <c r="Q394" s="81" t="s">
        <v>4747</v>
      </c>
      <c r="R394" s="11">
        <v>28.498436999999999</v>
      </c>
      <c r="S394" s="11">
        <v>-82.275644999999997</v>
      </c>
      <c r="T394" s="11" t="s">
        <v>4748</v>
      </c>
      <c r="U394" s="11" t="s">
        <v>4749</v>
      </c>
      <c r="V394" s="17" t="s">
        <v>4750</v>
      </c>
      <c r="W394" s="17" t="s">
        <v>110</v>
      </c>
      <c r="X394" s="70">
        <v>151</v>
      </c>
      <c r="Y394" s="70">
        <v>148</v>
      </c>
      <c r="Z394" s="13">
        <v>25042</v>
      </c>
      <c r="AA394" s="13">
        <v>25071</v>
      </c>
      <c r="AB394" s="13">
        <v>25114</v>
      </c>
      <c r="AC394" s="13">
        <v>25114</v>
      </c>
      <c r="AD394" s="86">
        <v>6764</v>
      </c>
      <c r="AE394" s="86">
        <v>6764</v>
      </c>
      <c r="AF394" s="70" t="s">
        <v>4751</v>
      </c>
      <c r="AG394" s="17" t="s">
        <v>4752</v>
      </c>
      <c r="AH394" s="17" t="s">
        <v>4753</v>
      </c>
      <c r="AI394" s="70" t="s">
        <v>94</v>
      </c>
      <c r="AJ394" s="17" t="s">
        <v>94</v>
      </c>
      <c r="AK394" s="17" t="s">
        <v>95</v>
      </c>
      <c r="AL394" s="17" t="s">
        <v>86</v>
      </c>
      <c r="AM394" s="17" t="s">
        <v>94</v>
      </c>
      <c r="AN394" s="17" t="s">
        <v>94</v>
      </c>
      <c r="AO394" s="17" t="s">
        <v>98</v>
      </c>
      <c r="AP394" s="17" t="s">
        <v>98</v>
      </c>
      <c r="AQ394" s="17" t="s">
        <v>98</v>
      </c>
      <c r="AR394" s="17" t="s">
        <v>94</v>
      </c>
      <c r="AS394" s="17" t="s">
        <v>4754</v>
      </c>
      <c r="AT394" s="17">
        <v>130</v>
      </c>
      <c r="AU394" s="30" t="s">
        <v>4755</v>
      </c>
      <c r="AV394" s="14">
        <v>8533</v>
      </c>
      <c r="AW394" s="74"/>
      <c r="AX394" s="1" t="s">
        <v>3525</v>
      </c>
      <c r="AY394" s="17" t="s">
        <v>101</v>
      </c>
    </row>
    <row r="395" spans="1:51" ht="12.75" customHeight="1" x14ac:dyDescent="0.25">
      <c r="A395" s="5">
        <v>392</v>
      </c>
      <c r="B395" s="9">
        <v>392</v>
      </c>
      <c r="C395" s="9" t="s">
        <v>4756</v>
      </c>
      <c r="D395" s="57" t="str">
        <f>HYPERLINK("http://prodenv.dep.state.fl.us/DepNexus/public/electronic-documents/OG_392/facility!search","OG_392_Docs")</f>
        <v>OG_392_Docs</v>
      </c>
      <c r="E395" s="57" t="str">
        <f>HYPERLINK("https://ca.dep.state.fl.us/mapdirect/?focus=oilandgas&amp;zoom=query&amp;querytype=oilandgas&amp;queryvalues=OG_392","OG_392_Map")</f>
        <v>OG_392_Map</v>
      </c>
      <c r="F395" s="1" t="s">
        <v>1041</v>
      </c>
      <c r="G395" s="1" t="s">
        <v>79</v>
      </c>
      <c r="H395" s="1" t="s">
        <v>4733</v>
      </c>
      <c r="I395" s="1" t="s">
        <v>4757</v>
      </c>
      <c r="J395" s="17" t="s">
        <v>207</v>
      </c>
      <c r="K395" s="17" t="s">
        <v>208</v>
      </c>
      <c r="L395" s="17"/>
      <c r="M395" s="17" t="s">
        <v>207</v>
      </c>
      <c r="N395" s="52" t="s">
        <v>86</v>
      </c>
      <c r="O395" s="17" t="s">
        <v>86</v>
      </c>
      <c r="P395" s="17" t="s">
        <v>86</v>
      </c>
      <c r="Q395" s="81" t="s">
        <v>4758</v>
      </c>
      <c r="R395" s="11">
        <v>29.892209000000001</v>
      </c>
      <c r="S395" s="11">
        <v>-82.648793999999995</v>
      </c>
      <c r="T395" s="11" t="s">
        <v>4759</v>
      </c>
      <c r="U395" s="11" t="s">
        <v>4760</v>
      </c>
      <c r="V395" s="17" t="s">
        <v>4761</v>
      </c>
      <c r="W395" s="17" t="s">
        <v>110</v>
      </c>
      <c r="X395" s="70"/>
      <c r="Y395" s="70"/>
      <c r="Z395" s="13">
        <v>25049</v>
      </c>
      <c r="AA395" s="13"/>
      <c r="AB395" s="13"/>
      <c r="AC395" s="13"/>
      <c r="AD395" s="86"/>
      <c r="AE395" s="70"/>
      <c r="AF395" s="70" t="s">
        <v>207</v>
      </c>
      <c r="AG395" s="14" t="s">
        <v>207</v>
      </c>
      <c r="AH395" s="14" t="s">
        <v>207</v>
      </c>
      <c r="AI395" s="70" t="s">
        <v>207</v>
      </c>
      <c r="AJ395" s="14" t="s">
        <v>207</v>
      </c>
      <c r="AK395" s="14" t="s">
        <v>207</v>
      </c>
      <c r="AL395" s="14" t="s">
        <v>207</v>
      </c>
      <c r="AM395" s="14" t="s">
        <v>207</v>
      </c>
      <c r="AN395" s="14" t="s">
        <v>207</v>
      </c>
      <c r="AO395" s="14" t="s">
        <v>207</v>
      </c>
      <c r="AP395" s="14" t="s">
        <v>207</v>
      </c>
      <c r="AQ395" s="14" t="s">
        <v>207</v>
      </c>
      <c r="AR395" s="14" t="s">
        <v>207</v>
      </c>
      <c r="AS395" s="14" t="s">
        <v>207</v>
      </c>
      <c r="AT395" s="14" t="s">
        <v>207</v>
      </c>
      <c r="AU395" s="30" t="s">
        <v>4762</v>
      </c>
      <c r="AV395" s="14" t="s">
        <v>207</v>
      </c>
      <c r="AW395" s="74"/>
      <c r="AX395" s="1"/>
      <c r="AY395" s="17" t="s">
        <v>101</v>
      </c>
    </row>
    <row r="396" spans="1:51" ht="12.75" customHeight="1" x14ac:dyDescent="0.25">
      <c r="A396" s="5">
        <v>393</v>
      </c>
      <c r="B396" s="9">
        <v>393</v>
      </c>
      <c r="C396" s="9" t="s">
        <v>4763</v>
      </c>
      <c r="D396" s="57" t="str">
        <f>HYPERLINK("http://prodenv.dep.state.fl.us/DepNexus/public/electronic-documents/OG_393/facility!search","OG_393_Docs")</f>
        <v>OG_393_Docs</v>
      </c>
      <c r="E396" s="57" t="str">
        <f>HYPERLINK("https://ca.dep.state.fl.us/mapdirect/?focus=oilandgas&amp;zoom=query&amp;querytype=oilandgas&amp;queryvalues=OG_393","OG_393_Map")</f>
        <v>OG_393_Map</v>
      </c>
      <c r="F396" s="1" t="s">
        <v>265</v>
      </c>
      <c r="G396" s="1" t="s">
        <v>3668</v>
      </c>
      <c r="H396" s="1" t="s">
        <v>3669</v>
      </c>
      <c r="I396" s="1" t="s">
        <v>4764</v>
      </c>
      <c r="J396" s="17" t="s">
        <v>82</v>
      </c>
      <c r="K396" s="17" t="s">
        <v>83</v>
      </c>
      <c r="L396" s="17"/>
      <c r="M396" s="17"/>
      <c r="N396" s="52" t="s">
        <v>3956</v>
      </c>
      <c r="O396" s="17" t="s">
        <v>86</v>
      </c>
      <c r="P396" s="17" t="s">
        <v>86</v>
      </c>
      <c r="Q396" s="81" t="s">
        <v>4765</v>
      </c>
      <c r="R396" s="11">
        <v>26.512457000000001</v>
      </c>
      <c r="S396" s="11">
        <v>-81.349847999999994</v>
      </c>
      <c r="T396" s="11" t="s">
        <v>4766</v>
      </c>
      <c r="U396" s="11" t="s">
        <v>4767</v>
      </c>
      <c r="V396" s="17" t="s">
        <v>4768</v>
      </c>
      <c r="W396" s="17" t="s">
        <v>110</v>
      </c>
      <c r="X396" s="70">
        <v>47</v>
      </c>
      <c r="Y396" s="70">
        <v>30</v>
      </c>
      <c r="Z396" s="13">
        <v>25063</v>
      </c>
      <c r="AA396" s="13">
        <v>25064</v>
      </c>
      <c r="AB396" s="13">
        <v>25097</v>
      </c>
      <c r="AC396" s="13">
        <v>25286</v>
      </c>
      <c r="AD396" s="86">
        <v>11567</v>
      </c>
      <c r="AE396" s="86">
        <v>11567</v>
      </c>
      <c r="AF396" s="70" t="s">
        <v>4598</v>
      </c>
      <c r="AG396" s="17" t="s">
        <v>4769</v>
      </c>
      <c r="AH396" s="17" t="s">
        <v>4770</v>
      </c>
      <c r="AI396" s="70" t="s">
        <v>94</v>
      </c>
      <c r="AJ396" s="17" t="s">
        <v>94</v>
      </c>
      <c r="AK396" s="17" t="s">
        <v>95</v>
      </c>
      <c r="AL396" s="17" t="s">
        <v>4771</v>
      </c>
      <c r="AM396" s="17" t="s">
        <v>94</v>
      </c>
      <c r="AN396" s="17" t="s">
        <v>86</v>
      </c>
      <c r="AO396" s="17" t="s">
        <v>98</v>
      </c>
      <c r="AP396" s="17" t="s">
        <v>98</v>
      </c>
      <c r="AQ396" s="17" t="s">
        <v>98</v>
      </c>
      <c r="AR396" s="17" t="s">
        <v>94</v>
      </c>
      <c r="AS396" s="17" t="s">
        <v>4772</v>
      </c>
      <c r="AT396" s="17"/>
      <c r="AU396" s="30" t="s">
        <v>4773</v>
      </c>
      <c r="AV396" s="14">
        <v>8490</v>
      </c>
      <c r="AW396" s="74"/>
      <c r="AX396" s="1"/>
      <c r="AY396" s="17" t="s">
        <v>101</v>
      </c>
    </row>
    <row r="397" spans="1:51" ht="12.75" customHeight="1" x14ac:dyDescent="0.25">
      <c r="A397" s="5">
        <v>394</v>
      </c>
      <c r="B397" s="9">
        <v>394</v>
      </c>
      <c r="C397" s="9" t="s">
        <v>4774</v>
      </c>
      <c r="D397" s="57" t="str">
        <f>HYPERLINK("http://prodenv.dep.state.fl.us/DepNexus/public/electronic-documents/OG_394/facility!search","OG_394_Docs")</f>
        <v>OG_394_Docs</v>
      </c>
      <c r="E397" s="57" t="str">
        <f>HYPERLINK("https://ca.dep.state.fl.us/mapdirect/?focus=oilandgas&amp;zoom=query&amp;querytype=oilandgas&amp;queryvalues=OG_394","OG_394_Map")</f>
        <v>OG_394_Map</v>
      </c>
      <c r="F397" s="1" t="s">
        <v>1752</v>
      </c>
      <c r="G397" s="1" t="s">
        <v>4496</v>
      </c>
      <c r="H397" s="1" t="s">
        <v>3669</v>
      </c>
      <c r="I397" s="1" t="s">
        <v>4775</v>
      </c>
      <c r="J397" s="17" t="s">
        <v>268</v>
      </c>
      <c r="K397" s="17" t="s">
        <v>412</v>
      </c>
      <c r="L397" s="17"/>
      <c r="M397" s="17"/>
      <c r="N397" s="52" t="s">
        <v>3956</v>
      </c>
      <c r="O397" s="17" t="s">
        <v>86</v>
      </c>
      <c r="P397" s="17" t="s">
        <v>86</v>
      </c>
      <c r="Q397" s="81" t="s">
        <v>4776</v>
      </c>
      <c r="R397" s="11">
        <v>26.54691</v>
      </c>
      <c r="S397" s="11">
        <v>-81.518304000000001</v>
      </c>
      <c r="T397" s="11" t="s">
        <v>4777</v>
      </c>
      <c r="U397" s="11" t="s">
        <v>4778</v>
      </c>
      <c r="V397" s="17" t="s">
        <v>4779</v>
      </c>
      <c r="W397" s="17" t="s">
        <v>110</v>
      </c>
      <c r="X397" s="70">
        <v>49</v>
      </c>
      <c r="Y397" s="70">
        <v>31</v>
      </c>
      <c r="Z397" s="13">
        <v>25091</v>
      </c>
      <c r="AA397" s="13">
        <v>25108</v>
      </c>
      <c r="AB397" s="13">
        <v>25184</v>
      </c>
      <c r="AC397" s="13">
        <v>33185</v>
      </c>
      <c r="AD397" s="86">
        <v>11488</v>
      </c>
      <c r="AE397" s="86">
        <v>11488</v>
      </c>
      <c r="AF397" s="70" t="s">
        <v>4187</v>
      </c>
      <c r="AG397" s="17" t="s">
        <v>4260</v>
      </c>
      <c r="AH397" s="17" t="s">
        <v>4780</v>
      </c>
      <c r="AI397" s="70" t="s">
        <v>4781</v>
      </c>
      <c r="AJ397" s="17" t="s">
        <v>4782</v>
      </c>
      <c r="AK397" s="17" t="s">
        <v>95</v>
      </c>
      <c r="AL397" s="17" t="s">
        <v>4783</v>
      </c>
      <c r="AM397" s="17" t="s">
        <v>94</v>
      </c>
      <c r="AN397" s="17" t="s">
        <v>86</v>
      </c>
      <c r="AO397" s="17" t="s">
        <v>4784</v>
      </c>
      <c r="AP397" s="17" t="s">
        <v>4785</v>
      </c>
      <c r="AQ397" s="17" t="s">
        <v>4786</v>
      </c>
      <c r="AR397" s="17" t="s">
        <v>4787</v>
      </c>
      <c r="AS397" s="17" t="s">
        <v>4788</v>
      </c>
      <c r="AT397" s="17"/>
      <c r="AU397" s="30" t="s">
        <v>4789</v>
      </c>
      <c r="AV397" s="14">
        <v>10326</v>
      </c>
      <c r="AW397" s="74"/>
      <c r="AX397" s="1"/>
      <c r="AY397" s="17" t="s">
        <v>101</v>
      </c>
    </row>
    <row r="398" spans="1:51" ht="15" customHeight="1" x14ac:dyDescent="0.25">
      <c r="A398" s="5">
        <v>395</v>
      </c>
      <c r="B398" s="9">
        <v>395</v>
      </c>
      <c r="C398" s="9" t="s">
        <v>4790</v>
      </c>
      <c r="D398" s="57" t="str">
        <f>HYPERLINK("http://prodenv.dep.state.fl.us/DepNexus/public/electronic-documents/OG_395/facility!search","OG_395_Docs")</f>
        <v>OG_395_Docs</v>
      </c>
      <c r="E398" s="57" t="str">
        <f>HYPERLINK("https://ca.dep.state.fl.us/mapdirect/?focus=oilandgas&amp;zoom=query&amp;querytype=oilandgas&amp;queryvalues=OG_395","OG_395_Map")</f>
        <v>OG_395_Map</v>
      </c>
      <c r="F398" s="1" t="s">
        <v>1276</v>
      </c>
      <c r="G398" s="1" t="s">
        <v>79</v>
      </c>
      <c r="H398" s="1" t="s">
        <v>4791</v>
      </c>
      <c r="I398" s="1" t="s">
        <v>4792</v>
      </c>
      <c r="J398" s="17" t="s">
        <v>207</v>
      </c>
      <c r="K398" s="17" t="s">
        <v>208</v>
      </c>
      <c r="L398" s="17"/>
      <c r="M398" s="17" t="s">
        <v>207</v>
      </c>
      <c r="N398" s="52" t="s">
        <v>86</v>
      </c>
      <c r="O398" s="17" t="s">
        <v>86</v>
      </c>
      <c r="P398" s="17" t="s">
        <v>86</v>
      </c>
      <c r="Q398" s="81" t="s">
        <v>4793</v>
      </c>
      <c r="R398" s="11">
        <v>30.480857</v>
      </c>
      <c r="S398" s="11">
        <v>-83.853840000000005</v>
      </c>
      <c r="T398" s="11" t="s">
        <v>4794</v>
      </c>
      <c r="U398" s="11" t="s">
        <v>4795</v>
      </c>
      <c r="V398" s="17" t="s">
        <v>4796</v>
      </c>
      <c r="W398" s="17" t="s">
        <v>110</v>
      </c>
      <c r="X398" s="70"/>
      <c r="Y398" s="70"/>
      <c r="Z398" s="13">
        <v>25126</v>
      </c>
      <c r="AA398" s="13"/>
      <c r="AB398" s="13"/>
      <c r="AC398" s="13"/>
      <c r="AD398" s="86"/>
      <c r="AE398" s="70"/>
      <c r="AF398" s="70" t="s">
        <v>207</v>
      </c>
      <c r="AG398" s="17" t="s">
        <v>207</v>
      </c>
      <c r="AH398" s="17" t="s">
        <v>207</v>
      </c>
      <c r="AI398" s="70" t="s">
        <v>207</v>
      </c>
      <c r="AJ398" s="17" t="s">
        <v>207</v>
      </c>
      <c r="AK398" s="17" t="s">
        <v>207</v>
      </c>
      <c r="AL398" s="17" t="s">
        <v>207</v>
      </c>
      <c r="AM398" s="17" t="s">
        <v>207</v>
      </c>
      <c r="AN398" s="17" t="s">
        <v>207</v>
      </c>
      <c r="AO398" s="17" t="s">
        <v>207</v>
      </c>
      <c r="AP398" s="17" t="s">
        <v>207</v>
      </c>
      <c r="AQ398" s="17" t="s">
        <v>207</v>
      </c>
      <c r="AR398" s="17" t="s">
        <v>207</v>
      </c>
      <c r="AS398" s="17" t="s">
        <v>207</v>
      </c>
      <c r="AT398" s="17"/>
      <c r="AU398" s="30" t="s">
        <v>4797</v>
      </c>
      <c r="AV398" s="14" t="s">
        <v>207</v>
      </c>
      <c r="AW398" s="74"/>
      <c r="AX398" s="1" t="s">
        <v>4798</v>
      </c>
      <c r="AY398" s="17" t="s">
        <v>101</v>
      </c>
    </row>
    <row r="399" spans="1:51" ht="12.75" customHeight="1" x14ac:dyDescent="0.25">
      <c r="A399" s="5">
        <v>396</v>
      </c>
      <c r="B399" s="9">
        <v>396</v>
      </c>
      <c r="C399" s="9" t="s">
        <v>4799</v>
      </c>
      <c r="D399" s="57" t="str">
        <f>HYPERLINK("http://prodenv.dep.state.fl.us/DepNexus/public/electronic-documents/OG_396/facility!search","OG_396_Docs")</f>
        <v>OG_396_Docs</v>
      </c>
      <c r="E399" s="57" t="str">
        <f>HYPERLINK("https://ca.dep.state.fl.us/mapdirect/?focus=oilandgas&amp;zoom=query&amp;querytype=oilandgas&amp;queryvalues=OG_396","OG_396_Map")</f>
        <v>OG_396_Map</v>
      </c>
      <c r="F399" s="1" t="s">
        <v>1797</v>
      </c>
      <c r="G399" s="1" t="s">
        <v>79</v>
      </c>
      <c r="H399" s="1" t="s">
        <v>4800</v>
      </c>
      <c r="I399" s="1" t="s">
        <v>4801</v>
      </c>
      <c r="J399" s="17" t="s">
        <v>82</v>
      </c>
      <c r="K399" s="17" t="s">
        <v>83</v>
      </c>
      <c r="L399" s="17"/>
      <c r="M399" s="17"/>
      <c r="N399" s="52" t="s">
        <v>4802</v>
      </c>
      <c r="O399" s="17" t="s">
        <v>86</v>
      </c>
      <c r="P399" s="17" t="s">
        <v>86</v>
      </c>
      <c r="Q399" s="81" t="s">
        <v>4803</v>
      </c>
      <c r="R399" s="11">
        <v>30.954395999999999</v>
      </c>
      <c r="S399" s="11">
        <v>-87.132399000000007</v>
      </c>
      <c r="T399" s="11" t="s">
        <v>4804</v>
      </c>
      <c r="U399" s="11" t="s">
        <v>4805</v>
      </c>
      <c r="V399" s="17" t="s">
        <v>2180</v>
      </c>
      <c r="W399" s="17" t="s">
        <v>110</v>
      </c>
      <c r="X399" s="70">
        <v>260</v>
      </c>
      <c r="Y399" s="70">
        <v>250</v>
      </c>
      <c r="Z399" s="13">
        <v>25133</v>
      </c>
      <c r="AA399" s="13">
        <v>25133</v>
      </c>
      <c r="AB399" s="13">
        <v>25141</v>
      </c>
      <c r="AC399" s="13">
        <v>25144</v>
      </c>
      <c r="AD399" s="86">
        <v>6510</v>
      </c>
      <c r="AE399" s="70">
        <v>6510</v>
      </c>
      <c r="AF399" s="70" t="s">
        <v>94</v>
      </c>
      <c r="AG399" s="17" t="s">
        <v>4806</v>
      </c>
      <c r="AH399" s="17" t="s">
        <v>94</v>
      </c>
      <c r="AI399" s="70" t="s">
        <v>94</v>
      </c>
      <c r="AJ399" s="17" t="s">
        <v>94</v>
      </c>
      <c r="AK399" s="17" t="s">
        <v>95</v>
      </c>
      <c r="AL399" s="17" t="s">
        <v>94</v>
      </c>
      <c r="AM399" s="17" t="s">
        <v>94</v>
      </c>
      <c r="AN399" s="17" t="s">
        <v>94</v>
      </c>
      <c r="AO399" s="17" t="s">
        <v>98</v>
      </c>
      <c r="AP399" s="17" t="s">
        <v>98</v>
      </c>
      <c r="AQ399" s="17" t="s">
        <v>98</v>
      </c>
      <c r="AR399" s="17" t="s">
        <v>94</v>
      </c>
      <c r="AS399" s="17" t="s">
        <v>4807</v>
      </c>
      <c r="AT399" s="17"/>
      <c r="AU399" s="30" t="s">
        <v>4808</v>
      </c>
      <c r="AV399" s="14">
        <v>8534</v>
      </c>
      <c r="AW399" s="74"/>
      <c r="AX399" s="1"/>
      <c r="AY399" s="17" t="s">
        <v>101</v>
      </c>
    </row>
    <row r="400" spans="1:51" ht="12.75" customHeight="1" x14ac:dyDescent="0.25">
      <c r="A400" s="5">
        <v>397</v>
      </c>
      <c r="B400" s="9">
        <v>397</v>
      </c>
      <c r="C400" s="9" t="s">
        <v>4809</v>
      </c>
      <c r="D400" s="57" t="str">
        <f>HYPERLINK("http://prodenv.dep.state.fl.us/DepNexus/public/electronic-documents/OG_397/facility!search","OG_397_Docs")</f>
        <v>OG_397_Docs</v>
      </c>
      <c r="E400" s="57" t="str">
        <f>HYPERLINK("https://ca.dep.state.fl.us/mapdirect/?focus=oilandgas&amp;zoom=query&amp;querytype=oilandgas&amp;queryvalues=OG_397","OG_397_Map")</f>
        <v>OG_397_Map</v>
      </c>
      <c r="F400" s="1" t="s">
        <v>1752</v>
      </c>
      <c r="G400" s="1" t="s">
        <v>4496</v>
      </c>
      <c r="H400" s="1" t="s">
        <v>3669</v>
      </c>
      <c r="I400" s="1" t="s">
        <v>4810</v>
      </c>
      <c r="J400" s="17" t="s">
        <v>82</v>
      </c>
      <c r="K400" s="17" t="s">
        <v>83</v>
      </c>
      <c r="L400" s="17"/>
      <c r="M400" s="17"/>
      <c r="N400" s="52" t="s">
        <v>3956</v>
      </c>
      <c r="O400" s="17" t="s">
        <v>86</v>
      </c>
      <c r="P400" s="17" t="s">
        <v>86</v>
      </c>
      <c r="Q400" s="81" t="s">
        <v>4811</v>
      </c>
      <c r="R400" s="11">
        <v>26.553991</v>
      </c>
      <c r="S400" s="11">
        <v>-81.527330000000006</v>
      </c>
      <c r="T400" s="11" t="s">
        <v>4812</v>
      </c>
      <c r="U400" s="11" t="s">
        <v>4813</v>
      </c>
      <c r="V400" s="17" t="s">
        <v>4814</v>
      </c>
      <c r="W400" s="17" t="s">
        <v>110</v>
      </c>
      <c r="X400" s="70">
        <v>50</v>
      </c>
      <c r="Y400" s="70">
        <v>33</v>
      </c>
      <c r="Z400" s="13">
        <v>25133</v>
      </c>
      <c r="AA400" s="13">
        <v>25158</v>
      </c>
      <c r="AB400" s="13">
        <v>25187</v>
      </c>
      <c r="AC400" s="13">
        <v>25881</v>
      </c>
      <c r="AD400" s="86">
        <v>11582</v>
      </c>
      <c r="AE400" s="86">
        <v>11582</v>
      </c>
      <c r="AF400" s="70" t="s">
        <v>4707</v>
      </c>
      <c r="AG400" s="17" t="s">
        <v>4815</v>
      </c>
      <c r="AH400" s="17" t="s">
        <v>4816</v>
      </c>
      <c r="AI400" s="70" t="s">
        <v>94</v>
      </c>
      <c r="AJ400" s="17" t="s">
        <v>94</v>
      </c>
      <c r="AK400" s="17" t="s">
        <v>825</v>
      </c>
      <c r="AL400" s="17" t="s">
        <v>4817</v>
      </c>
      <c r="AM400" s="17" t="s">
        <v>825</v>
      </c>
      <c r="AN400" s="17" t="s">
        <v>94</v>
      </c>
      <c r="AO400" s="17" t="s">
        <v>98</v>
      </c>
      <c r="AP400" s="17" t="s">
        <v>98</v>
      </c>
      <c r="AQ400" s="17" t="s">
        <v>98</v>
      </c>
      <c r="AR400" s="17" t="s">
        <v>94</v>
      </c>
      <c r="AS400" s="17" t="s">
        <v>4818</v>
      </c>
      <c r="AT400" s="17"/>
      <c r="AU400" s="30" t="s">
        <v>4819</v>
      </c>
      <c r="AV400" s="14">
        <v>10327</v>
      </c>
      <c r="AW400" s="74"/>
      <c r="AX400" s="1"/>
      <c r="AY400" s="17" t="s">
        <v>101</v>
      </c>
    </row>
    <row r="401" spans="1:51" ht="12.75" customHeight="1" x14ac:dyDescent="0.25">
      <c r="A401" s="5">
        <v>398</v>
      </c>
      <c r="B401" s="9">
        <v>398</v>
      </c>
      <c r="C401" s="9" t="s">
        <v>4820</v>
      </c>
      <c r="D401" s="57" t="str">
        <f>HYPERLINK("http://prodenv.dep.state.fl.us/DepNexus/public/electronic-documents/OG_398/facility!search","OG_398_Docs")</f>
        <v>OG_398_Docs</v>
      </c>
      <c r="E401" s="57" t="str">
        <f>HYPERLINK("https://ca.dep.state.fl.us/mapdirect/?focus=oilandgas&amp;zoom=query&amp;querytype=oilandgas&amp;queryvalues=OG_398","OG_398_Map")</f>
        <v>OG_398_Map</v>
      </c>
      <c r="F401" s="1" t="s">
        <v>1752</v>
      </c>
      <c r="G401" s="1" t="s">
        <v>4496</v>
      </c>
      <c r="H401" s="1" t="s">
        <v>3669</v>
      </c>
      <c r="I401" s="1" t="s">
        <v>4821</v>
      </c>
      <c r="J401" s="17" t="s">
        <v>268</v>
      </c>
      <c r="K401" s="17" t="s">
        <v>412</v>
      </c>
      <c r="L401" s="17"/>
      <c r="M401" s="17"/>
      <c r="N401" s="52" t="s">
        <v>3956</v>
      </c>
      <c r="O401" s="17" t="s">
        <v>86</v>
      </c>
      <c r="P401" s="17" t="s">
        <v>86</v>
      </c>
      <c r="Q401" s="81" t="s">
        <v>4822</v>
      </c>
      <c r="R401" s="11">
        <v>26.531576999999999</v>
      </c>
      <c r="S401" s="11">
        <v>-81.527259000000001</v>
      </c>
      <c r="T401" s="11" t="s">
        <v>4823</v>
      </c>
      <c r="U401" s="11" t="s">
        <v>4824</v>
      </c>
      <c r="V401" s="17" t="s">
        <v>4825</v>
      </c>
      <c r="W401" s="17" t="s">
        <v>110</v>
      </c>
      <c r="X401" s="70">
        <v>49</v>
      </c>
      <c r="Y401" s="70">
        <v>31</v>
      </c>
      <c r="Z401" s="13">
        <v>25154</v>
      </c>
      <c r="AA401" s="13">
        <v>25332</v>
      </c>
      <c r="AB401" s="13">
        <v>25393</v>
      </c>
      <c r="AC401" s="13">
        <v>27281</v>
      </c>
      <c r="AD401" s="86">
        <v>11676</v>
      </c>
      <c r="AE401" s="86">
        <v>11676</v>
      </c>
      <c r="AF401" s="70" t="s">
        <v>4826</v>
      </c>
      <c r="AG401" s="17" t="s">
        <v>4827</v>
      </c>
      <c r="AH401" s="17" t="s">
        <v>4828</v>
      </c>
      <c r="AI401" s="70" t="s">
        <v>4829</v>
      </c>
      <c r="AJ401" s="17" t="s">
        <v>4830</v>
      </c>
      <c r="AK401" s="17" t="s">
        <v>95</v>
      </c>
      <c r="AL401" s="17" t="s">
        <v>4831</v>
      </c>
      <c r="AM401" s="17" t="s">
        <v>94</v>
      </c>
      <c r="AN401" s="17" t="s">
        <v>94</v>
      </c>
      <c r="AO401" s="17" t="s">
        <v>4832</v>
      </c>
      <c r="AP401" s="17" t="s">
        <v>4833</v>
      </c>
      <c r="AQ401" s="17" t="s">
        <v>4834</v>
      </c>
      <c r="AR401" s="17" t="s">
        <v>4835</v>
      </c>
      <c r="AS401" s="17" t="s">
        <v>4836</v>
      </c>
      <c r="AT401" s="17"/>
      <c r="AU401" s="30" t="s">
        <v>4837</v>
      </c>
      <c r="AV401" s="14">
        <v>8758</v>
      </c>
      <c r="AW401" s="74"/>
      <c r="AX401" s="1"/>
      <c r="AY401" s="17" t="s">
        <v>101</v>
      </c>
    </row>
    <row r="402" spans="1:51" ht="15" customHeight="1" x14ac:dyDescent="0.25">
      <c r="A402" s="5">
        <v>398.1</v>
      </c>
      <c r="B402" s="9" t="s">
        <v>4838</v>
      </c>
      <c r="C402" s="9" t="s">
        <v>4820</v>
      </c>
      <c r="D402" s="57" t="str">
        <f>HYPERLINK("http://prodenv.dep.state.fl.us/DepNexus/public/electronic-documents/OG_398/facility!search","OG_398_Docs")</f>
        <v>OG_398_Docs</v>
      </c>
      <c r="E402" s="57" t="str">
        <f>HYPERLINK("https://ca.dep.state.fl.us/mapdirect/?focus=oilandgas&amp;zoom=query&amp;querytype=oilandgas&amp;queryvalues=OG_398","OG_398_Map")</f>
        <v>OG_398_Map</v>
      </c>
      <c r="F402" s="1" t="s">
        <v>1752</v>
      </c>
      <c r="G402" s="1" t="s">
        <v>4496</v>
      </c>
      <c r="H402" s="1" t="s">
        <v>3669</v>
      </c>
      <c r="I402" s="1" t="s">
        <v>4839</v>
      </c>
      <c r="J402" s="17" t="s">
        <v>268</v>
      </c>
      <c r="K402" s="17" t="s">
        <v>412</v>
      </c>
      <c r="L402" s="17"/>
      <c r="M402" s="17"/>
      <c r="N402" s="52" t="s">
        <v>4840</v>
      </c>
      <c r="O402" s="17" t="s">
        <v>86</v>
      </c>
      <c r="P402" s="17" t="s">
        <v>86</v>
      </c>
      <c r="Q402" s="81" t="s">
        <v>4822</v>
      </c>
      <c r="R402" s="11">
        <v>26.531576999999999</v>
      </c>
      <c r="S402" s="11">
        <v>-81.527259000000001</v>
      </c>
      <c r="T402" s="11" t="s">
        <v>4823</v>
      </c>
      <c r="U402" s="11" t="s">
        <v>4824</v>
      </c>
      <c r="V402" s="17" t="s">
        <v>4825</v>
      </c>
      <c r="W402" s="17" t="s">
        <v>4841</v>
      </c>
      <c r="X402" s="70">
        <v>48</v>
      </c>
      <c r="Y402" s="70">
        <v>31</v>
      </c>
      <c r="Z402" s="13">
        <v>27107</v>
      </c>
      <c r="AA402" s="13">
        <v>27282</v>
      </c>
      <c r="AB402" s="13">
        <v>27321</v>
      </c>
      <c r="AC402" s="13">
        <v>33553</v>
      </c>
      <c r="AD402" s="86">
        <v>11596</v>
      </c>
      <c r="AE402" s="86">
        <v>11660</v>
      </c>
      <c r="AF402" s="70" t="s">
        <v>4842</v>
      </c>
      <c r="AG402" s="17" t="s">
        <v>4827</v>
      </c>
      <c r="AH402" s="17" t="s">
        <v>4828</v>
      </c>
      <c r="AI402" s="70" t="s">
        <v>4843</v>
      </c>
      <c r="AJ402" s="17" t="s">
        <v>4844</v>
      </c>
      <c r="AK402" s="17" t="s">
        <v>94</v>
      </c>
      <c r="AL402" s="17" t="s">
        <v>94</v>
      </c>
      <c r="AM402" s="17" t="s">
        <v>94</v>
      </c>
      <c r="AN402" s="17" t="s">
        <v>94</v>
      </c>
      <c r="AO402" s="17" t="s">
        <v>4845</v>
      </c>
      <c r="AP402" s="17" t="s">
        <v>4846</v>
      </c>
      <c r="AQ402" s="17" t="s">
        <v>4847</v>
      </c>
      <c r="AR402" s="17" t="s">
        <v>4848</v>
      </c>
      <c r="AS402" s="17" t="s">
        <v>4849</v>
      </c>
      <c r="AT402" s="17"/>
      <c r="AU402" s="30" t="s">
        <v>4850</v>
      </c>
      <c r="AV402" s="14" t="s">
        <v>94</v>
      </c>
      <c r="AW402" s="74"/>
      <c r="AX402" s="1"/>
      <c r="AY402" s="17" t="s">
        <v>101</v>
      </c>
    </row>
    <row r="403" spans="1:51" ht="15" customHeight="1" x14ac:dyDescent="0.25">
      <c r="A403" s="5">
        <v>399</v>
      </c>
      <c r="B403" s="9">
        <v>399</v>
      </c>
      <c r="C403" s="9" t="s">
        <v>4851</v>
      </c>
      <c r="D403" s="57" t="str">
        <f>HYPERLINK("http://prodenv.dep.state.fl.us/DepNexus/public/electronic-documents/OG_399/facility!search","OG_399_Docs")</f>
        <v>OG_399_Docs</v>
      </c>
      <c r="E403" s="57" t="str">
        <f>HYPERLINK("https://ca.dep.state.fl.us/mapdirect/?focus=oilandgas&amp;zoom=query&amp;querytype=oilandgas&amp;queryvalues=OG_399","OG_399_Map")</f>
        <v>OG_399_Map</v>
      </c>
      <c r="F403" s="1" t="s">
        <v>1041</v>
      </c>
      <c r="G403" s="1" t="s">
        <v>79</v>
      </c>
      <c r="H403" s="1" t="s">
        <v>4733</v>
      </c>
      <c r="I403" s="1" t="s">
        <v>4852</v>
      </c>
      <c r="J403" s="17" t="s">
        <v>82</v>
      </c>
      <c r="K403" s="17" t="s">
        <v>83</v>
      </c>
      <c r="L403" s="17"/>
      <c r="M403" s="17"/>
      <c r="N403" s="52" t="s">
        <v>4853</v>
      </c>
      <c r="O403" s="17" t="s">
        <v>86</v>
      </c>
      <c r="P403" s="17" t="s">
        <v>86</v>
      </c>
      <c r="Q403" s="81" t="s">
        <v>4854</v>
      </c>
      <c r="R403" s="11">
        <v>29.938665</v>
      </c>
      <c r="S403" s="11">
        <v>-82.665674999999993</v>
      </c>
      <c r="T403" s="11" t="s">
        <v>4855</v>
      </c>
      <c r="U403" s="11" t="s">
        <v>4856</v>
      </c>
      <c r="V403" s="17" t="s">
        <v>4857</v>
      </c>
      <c r="W403" s="17" t="s">
        <v>110</v>
      </c>
      <c r="X403" s="70">
        <v>80</v>
      </c>
      <c r="Y403" s="70">
        <v>73</v>
      </c>
      <c r="Z403" s="13">
        <v>25154</v>
      </c>
      <c r="AA403" s="13">
        <v>25165</v>
      </c>
      <c r="AB403" s="13">
        <v>25178</v>
      </c>
      <c r="AC403" s="13">
        <v>25178</v>
      </c>
      <c r="AD403" s="86">
        <v>3115</v>
      </c>
      <c r="AE403" s="86">
        <v>3115</v>
      </c>
      <c r="AF403" s="70" t="s">
        <v>4739</v>
      </c>
      <c r="AG403" s="17" t="s">
        <v>4858</v>
      </c>
      <c r="AH403" s="17" t="s">
        <v>94</v>
      </c>
      <c r="AI403" s="70" t="s">
        <v>94</v>
      </c>
      <c r="AJ403" s="17" t="s">
        <v>94</v>
      </c>
      <c r="AK403" s="17" t="s">
        <v>95</v>
      </c>
      <c r="AL403" s="17" t="s">
        <v>4859</v>
      </c>
      <c r="AM403" s="17" t="s">
        <v>95</v>
      </c>
      <c r="AN403" s="17" t="s">
        <v>94</v>
      </c>
      <c r="AO403" s="17" t="s">
        <v>98</v>
      </c>
      <c r="AP403" s="17" t="s">
        <v>98</v>
      </c>
      <c r="AQ403" s="17" t="s">
        <v>98</v>
      </c>
      <c r="AR403" s="17" t="s">
        <v>94</v>
      </c>
      <c r="AS403" s="17" t="s">
        <v>4860</v>
      </c>
      <c r="AT403" s="17">
        <v>100</v>
      </c>
      <c r="AU403" s="30" t="s">
        <v>4861</v>
      </c>
      <c r="AV403" s="14">
        <v>8585</v>
      </c>
      <c r="AW403" s="74"/>
      <c r="AX403" s="1"/>
      <c r="AY403" s="17" t="s">
        <v>101</v>
      </c>
    </row>
    <row r="404" spans="1:51" ht="12.75" customHeight="1" x14ac:dyDescent="0.25">
      <c r="A404" s="5">
        <v>400</v>
      </c>
      <c r="B404" s="9">
        <v>400</v>
      </c>
      <c r="C404" s="9" t="s">
        <v>4862</v>
      </c>
      <c r="D404" s="57" t="str">
        <f>HYPERLINK("http://prodenv.dep.state.fl.us/DepNexus/public/electronic-documents/OG_400/facility!search","OG_400_Docs")</f>
        <v>OG_400_Docs</v>
      </c>
      <c r="E404" s="57" t="str">
        <f>HYPERLINK("https://ca.dep.state.fl.us/mapdirect/?focus=oilandgas&amp;zoom=query&amp;querytype=oilandgas&amp;queryvalues=OG_400","OG_400_Map")</f>
        <v>OG_400_Map</v>
      </c>
      <c r="F404" s="1" t="s">
        <v>265</v>
      </c>
      <c r="G404" s="1" t="s">
        <v>266</v>
      </c>
      <c r="H404" s="1" t="s">
        <v>176</v>
      </c>
      <c r="I404" s="1" t="s">
        <v>4863</v>
      </c>
      <c r="J404" s="17" t="s">
        <v>268</v>
      </c>
      <c r="K404" s="17" t="s">
        <v>412</v>
      </c>
      <c r="L404" s="17"/>
      <c r="M404" s="17"/>
      <c r="N404" s="52" t="s">
        <v>4864</v>
      </c>
      <c r="O404" s="17" t="s">
        <v>270</v>
      </c>
      <c r="P404" s="17" t="s">
        <v>86</v>
      </c>
      <c r="Q404" s="81" t="s">
        <v>271</v>
      </c>
      <c r="R404" s="11">
        <v>26.286382</v>
      </c>
      <c r="S404" s="11">
        <v>-81.361090000000004</v>
      </c>
      <c r="T404" s="11" t="s">
        <v>4865</v>
      </c>
      <c r="U404" s="11" t="s">
        <v>4866</v>
      </c>
      <c r="V404" s="17" t="s">
        <v>4867</v>
      </c>
      <c r="W404" s="17" t="s">
        <v>110</v>
      </c>
      <c r="X404" s="70">
        <v>34</v>
      </c>
      <c r="Y404" s="70">
        <v>18</v>
      </c>
      <c r="Z404" s="13">
        <v>25189</v>
      </c>
      <c r="AA404" s="13">
        <v>25206</v>
      </c>
      <c r="AB404" s="13">
        <v>25318</v>
      </c>
      <c r="AC404" s="13">
        <v>32416</v>
      </c>
      <c r="AD404" s="86">
        <v>11700</v>
      </c>
      <c r="AE404" s="86">
        <v>11700</v>
      </c>
      <c r="AF404" s="70" t="s">
        <v>4868</v>
      </c>
      <c r="AG404" s="17" t="s">
        <v>4869</v>
      </c>
      <c r="AH404" s="17" t="s">
        <v>94</v>
      </c>
      <c r="AI404" s="70" t="s">
        <v>4870</v>
      </c>
      <c r="AJ404" s="17" t="s">
        <v>4871</v>
      </c>
      <c r="AK404" s="17" t="s">
        <v>95</v>
      </c>
      <c r="AL404" s="17" t="s">
        <v>86</v>
      </c>
      <c r="AM404" s="17" t="s">
        <v>94</v>
      </c>
      <c r="AN404" s="17" t="s">
        <v>86</v>
      </c>
      <c r="AO404" s="17" t="s">
        <v>4872</v>
      </c>
      <c r="AP404" s="17" t="s">
        <v>4873</v>
      </c>
      <c r="AQ404" s="17" t="s">
        <v>4874</v>
      </c>
      <c r="AR404" s="17" t="s">
        <v>4875</v>
      </c>
      <c r="AS404" s="17" t="s">
        <v>4876</v>
      </c>
      <c r="AT404" s="17">
        <v>170</v>
      </c>
      <c r="AU404" s="30" t="s">
        <v>4877</v>
      </c>
      <c r="AV404" s="14">
        <v>8853</v>
      </c>
      <c r="AW404" s="74"/>
      <c r="AX404" s="1"/>
      <c r="AY404" s="17" t="s">
        <v>101</v>
      </c>
    </row>
    <row r="405" spans="1:51" ht="15" customHeight="1" x14ac:dyDescent="0.25">
      <c r="A405" s="5">
        <v>401</v>
      </c>
      <c r="B405" s="9">
        <v>401</v>
      </c>
      <c r="C405" s="9" t="s">
        <v>4878</v>
      </c>
      <c r="D405" s="57" t="str">
        <f>HYPERLINK("http://prodenv.dep.state.fl.us/DepNexus/public/electronic-documents/OG_401/facility!search","OG_401_Docs")</f>
        <v>OG_401_Docs</v>
      </c>
      <c r="E405" s="57" t="str">
        <f>HYPERLINK("https://ca.dep.state.fl.us/mapdirect/?focus=oilandgas&amp;zoom=query&amp;querytype=oilandgas&amp;queryvalues=OG_401","OG_401_Map")</f>
        <v>OG_401_Map</v>
      </c>
      <c r="F405" s="1" t="s">
        <v>265</v>
      </c>
      <c r="G405" s="1" t="s">
        <v>4879</v>
      </c>
      <c r="H405" s="1" t="s">
        <v>4880</v>
      </c>
      <c r="I405" s="1" t="s">
        <v>4881</v>
      </c>
      <c r="J405" s="17" t="s">
        <v>268</v>
      </c>
      <c r="K405" s="17" t="s">
        <v>412</v>
      </c>
      <c r="L405" s="17"/>
      <c r="M405" s="17" t="s">
        <v>101</v>
      </c>
      <c r="N405" s="52" t="s">
        <v>4882</v>
      </c>
      <c r="O405" s="17" t="s">
        <v>86</v>
      </c>
      <c r="P405" s="17" t="s">
        <v>86</v>
      </c>
      <c r="Q405" s="81" t="s">
        <v>4883</v>
      </c>
      <c r="R405" s="11">
        <v>26.400929999999999</v>
      </c>
      <c r="S405" s="11">
        <v>-81.520739000000006</v>
      </c>
      <c r="T405" s="11" t="s">
        <v>4884</v>
      </c>
      <c r="U405" s="11" t="s">
        <v>4885</v>
      </c>
      <c r="V405" s="17" t="s">
        <v>964</v>
      </c>
      <c r="W405" s="17" t="s">
        <v>110</v>
      </c>
      <c r="X405" s="70">
        <v>39</v>
      </c>
      <c r="Y405" s="70">
        <v>23.5</v>
      </c>
      <c r="Z405" s="13">
        <v>25231</v>
      </c>
      <c r="AA405" s="13">
        <v>25248</v>
      </c>
      <c r="AB405" s="13">
        <v>25292</v>
      </c>
      <c r="AC405" s="13">
        <v>36412</v>
      </c>
      <c r="AD405" s="86">
        <v>11987</v>
      </c>
      <c r="AE405" s="86">
        <v>11987</v>
      </c>
      <c r="AF405" s="70" t="s">
        <v>4886</v>
      </c>
      <c r="AG405" s="17" t="s">
        <v>4887</v>
      </c>
      <c r="AH405" s="17" t="s">
        <v>4888</v>
      </c>
      <c r="AI405" s="70" t="s">
        <v>4889</v>
      </c>
      <c r="AJ405" s="17" t="s">
        <v>4890</v>
      </c>
      <c r="AK405" s="17" t="s">
        <v>95</v>
      </c>
      <c r="AL405" s="17" t="s">
        <v>4891</v>
      </c>
      <c r="AM405" s="17" t="s">
        <v>95</v>
      </c>
      <c r="AN405" s="17" t="s">
        <v>4892</v>
      </c>
      <c r="AO405" s="17" t="s">
        <v>4893</v>
      </c>
      <c r="AP405" s="17" t="s">
        <v>4176</v>
      </c>
      <c r="AQ405" s="17" t="s">
        <v>4894</v>
      </c>
      <c r="AR405" s="17" t="s">
        <v>4895</v>
      </c>
      <c r="AS405" s="17" t="s">
        <v>4896</v>
      </c>
      <c r="AT405" s="17">
        <v>202</v>
      </c>
      <c r="AU405" s="30" t="s">
        <v>4897</v>
      </c>
      <c r="AV405" s="14">
        <v>8748</v>
      </c>
      <c r="AW405" s="74"/>
      <c r="AX405" s="39" t="s">
        <v>4898</v>
      </c>
      <c r="AY405" s="17" t="s">
        <v>101</v>
      </c>
    </row>
    <row r="406" spans="1:51" ht="15" customHeight="1" x14ac:dyDescent="0.25">
      <c r="A406" s="5">
        <v>401.1</v>
      </c>
      <c r="B406" s="9" t="s">
        <v>4899</v>
      </c>
      <c r="C406" s="9" t="s">
        <v>4878</v>
      </c>
      <c r="D406" s="57" t="str">
        <f>HYPERLINK("http://prodenv.dep.state.fl.us/DepNexus/public/electronic-documents/OG_401/facility!search","OG_401_Docs")</f>
        <v>OG_401_Docs</v>
      </c>
      <c r="E406" s="57" t="str">
        <f>HYPERLINK("https://ca.dep.state.fl.us/mapdirect/?focus=oilandgas&amp;zoom=query&amp;querytype=oilandgas&amp;queryvalues=OG_401","OG_401_Map")</f>
        <v>OG_401_Map</v>
      </c>
      <c r="F406" s="1" t="s">
        <v>265</v>
      </c>
      <c r="G406" s="1" t="s">
        <v>4879</v>
      </c>
      <c r="H406" s="1" t="s">
        <v>4900</v>
      </c>
      <c r="I406" s="1" t="s">
        <v>4901</v>
      </c>
      <c r="J406" s="17" t="s">
        <v>268</v>
      </c>
      <c r="K406" s="17" t="s">
        <v>412</v>
      </c>
      <c r="L406" s="17"/>
      <c r="M406" s="17" t="s">
        <v>101</v>
      </c>
      <c r="N406" s="52" t="s">
        <v>4902</v>
      </c>
      <c r="O406" s="17" t="s">
        <v>86</v>
      </c>
      <c r="P406" s="17" t="s">
        <v>86</v>
      </c>
      <c r="Q406" s="81" t="s">
        <v>4883</v>
      </c>
      <c r="R406" s="11">
        <v>26.400929999999999</v>
      </c>
      <c r="S406" s="11">
        <v>-81.520739000000006</v>
      </c>
      <c r="T406" s="11" t="s">
        <v>4884</v>
      </c>
      <c r="U406" s="11" t="s">
        <v>4885</v>
      </c>
      <c r="V406" s="17" t="s">
        <v>4903</v>
      </c>
      <c r="W406" s="17" t="s">
        <v>4904</v>
      </c>
      <c r="X406" s="70">
        <v>44</v>
      </c>
      <c r="Y406" s="70">
        <v>24</v>
      </c>
      <c r="Z406" s="13">
        <v>35969</v>
      </c>
      <c r="AA406" s="13">
        <v>36406</v>
      </c>
      <c r="AB406" s="13">
        <v>36440</v>
      </c>
      <c r="AC406" s="13">
        <v>40529</v>
      </c>
      <c r="AD406" s="86">
        <v>11902</v>
      </c>
      <c r="AE406" s="70">
        <v>14777</v>
      </c>
      <c r="AF406" s="70" t="s">
        <v>4886</v>
      </c>
      <c r="AG406" s="17" t="s">
        <v>4887</v>
      </c>
      <c r="AH406" s="17" t="s">
        <v>4888</v>
      </c>
      <c r="AI406" s="70" t="s">
        <v>4905</v>
      </c>
      <c r="AJ406" s="17" t="s">
        <v>4906</v>
      </c>
      <c r="AK406" s="17" t="s">
        <v>94</v>
      </c>
      <c r="AL406" s="17" t="s">
        <v>94</v>
      </c>
      <c r="AM406" s="17" t="s">
        <v>94</v>
      </c>
      <c r="AN406" s="17" t="s">
        <v>86</v>
      </c>
      <c r="AO406" s="17" t="s">
        <v>4907</v>
      </c>
      <c r="AP406" s="17">
        <v>0</v>
      </c>
      <c r="AQ406" s="17">
        <v>0</v>
      </c>
      <c r="AR406" s="17" t="s">
        <v>4908</v>
      </c>
      <c r="AS406" s="17" t="s">
        <v>4909</v>
      </c>
      <c r="AT406" s="17"/>
      <c r="AU406" s="30" t="s">
        <v>4910</v>
      </c>
      <c r="AV406" s="14"/>
      <c r="AW406" s="74"/>
      <c r="AX406" s="1"/>
      <c r="AY406" s="17" t="s">
        <v>101</v>
      </c>
    </row>
    <row r="407" spans="1:51" ht="15" customHeight="1" x14ac:dyDescent="0.25">
      <c r="A407" s="5">
        <v>402</v>
      </c>
      <c r="B407" s="9">
        <v>402</v>
      </c>
      <c r="C407" s="9" t="s">
        <v>4911</v>
      </c>
      <c r="D407" s="57" t="str">
        <f>HYPERLINK("http://prodenv.dep.state.fl.us/DepNexus/public/electronic-documents/OG_402/facility!search","OG_402_Docs")</f>
        <v>OG_402_Docs</v>
      </c>
      <c r="E407" s="57" t="str">
        <f>HYPERLINK("https://ca.dep.state.fl.us/mapdirect/?focus=oilandgas&amp;zoom=query&amp;querytype=oilandgas&amp;queryvalues=OG_402","OG_402_Map")</f>
        <v>OG_402_Map</v>
      </c>
      <c r="F407" s="1" t="s">
        <v>4912</v>
      </c>
      <c r="G407" s="1" t="s">
        <v>79</v>
      </c>
      <c r="H407" s="1" t="s">
        <v>4913</v>
      </c>
      <c r="I407" s="1" t="s">
        <v>4914</v>
      </c>
      <c r="J407" s="17" t="s">
        <v>82</v>
      </c>
      <c r="K407" s="17" t="s">
        <v>83</v>
      </c>
      <c r="L407" s="17"/>
      <c r="M407" s="17" t="s">
        <v>84</v>
      </c>
      <c r="N407" s="52" t="s">
        <v>3956</v>
      </c>
      <c r="O407" s="17" t="s">
        <v>86</v>
      </c>
      <c r="P407" s="17" t="s">
        <v>86</v>
      </c>
      <c r="Q407" s="81" t="s">
        <v>4915</v>
      </c>
      <c r="R407" s="11">
        <v>30.405512999999999</v>
      </c>
      <c r="S407" s="11">
        <v>-81.872061000000002</v>
      </c>
      <c r="T407" s="11" t="s">
        <v>4916</v>
      </c>
      <c r="U407" s="11" t="s">
        <v>4917</v>
      </c>
      <c r="V407" s="17" t="s">
        <v>4918</v>
      </c>
      <c r="W407" s="17" t="s">
        <v>110</v>
      </c>
      <c r="X407" s="70">
        <v>91</v>
      </c>
      <c r="Y407" s="70">
        <v>81</v>
      </c>
      <c r="Z407" s="13">
        <v>25238</v>
      </c>
      <c r="AA407" s="13">
        <v>25248</v>
      </c>
      <c r="AB407" s="13">
        <v>25281</v>
      </c>
      <c r="AC407" s="13">
        <v>25281</v>
      </c>
      <c r="AD407" s="86">
        <v>4195</v>
      </c>
      <c r="AE407" s="86">
        <v>4195</v>
      </c>
      <c r="AF407" s="70" t="s">
        <v>4919</v>
      </c>
      <c r="AG407" s="17" t="s">
        <v>4920</v>
      </c>
      <c r="AH407" s="17" t="s">
        <v>4921</v>
      </c>
      <c r="AI407" s="70" t="s">
        <v>94</v>
      </c>
      <c r="AJ407" s="17" t="s">
        <v>94</v>
      </c>
      <c r="AK407" s="17" t="s">
        <v>95</v>
      </c>
      <c r="AL407" s="17" t="s">
        <v>4922</v>
      </c>
      <c r="AM407" s="17" t="s">
        <v>94</v>
      </c>
      <c r="AN407" s="17" t="s">
        <v>86</v>
      </c>
      <c r="AO407" s="17" t="s">
        <v>98</v>
      </c>
      <c r="AP407" s="17" t="s">
        <v>98</v>
      </c>
      <c r="AQ407" s="17" t="s">
        <v>98</v>
      </c>
      <c r="AR407" s="17" t="s">
        <v>94</v>
      </c>
      <c r="AS407" s="17" t="s">
        <v>4923</v>
      </c>
      <c r="AT407" s="17">
        <v>100</v>
      </c>
      <c r="AU407" s="30" t="s">
        <v>4924</v>
      </c>
      <c r="AV407" s="14">
        <v>8881</v>
      </c>
      <c r="AW407" s="74"/>
      <c r="AX407" s="1" t="s">
        <v>4925</v>
      </c>
      <c r="AY407" s="17" t="s">
        <v>101</v>
      </c>
    </row>
    <row r="408" spans="1:51" ht="12.75" customHeight="1" x14ac:dyDescent="0.25">
      <c r="A408" s="5">
        <v>403</v>
      </c>
      <c r="B408" s="9">
        <v>403</v>
      </c>
      <c r="C408" s="9" t="s">
        <v>4926</v>
      </c>
      <c r="D408" s="57" t="str">
        <f>HYPERLINK("http://prodenv.dep.state.fl.us/DepNexus/public/electronic-documents/OG_403/facility!search","OG_403_Docs")</f>
        <v>OG_403_Docs</v>
      </c>
      <c r="E408" s="57" t="str">
        <f>HYPERLINK("https://ca.dep.state.fl.us/mapdirect/?focus=oilandgas&amp;zoom=query&amp;querytype=oilandgas&amp;queryvalues=OG_403","OG_403_Map")</f>
        <v>OG_403_Map</v>
      </c>
      <c r="F408" s="1" t="s">
        <v>2576</v>
      </c>
      <c r="G408" s="1" t="s">
        <v>79</v>
      </c>
      <c r="H408" s="1" t="s">
        <v>128</v>
      </c>
      <c r="I408" s="1" t="s">
        <v>4927</v>
      </c>
      <c r="J408" s="17" t="s">
        <v>82</v>
      </c>
      <c r="K408" s="17" t="s">
        <v>83</v>
      </c>
      <c r="L408" s="17"/>
      <c r="M408" s="17" t="s">
        <v>101</v>
      </c>
      <c r="N408" s="52" t="s">
        <v>3956</v>
      </c>
      <c r="O408" s="17" t="s">
        <v>86</v>
      </c>
      <c r="P408" s="17" t="s">
        <v>86</v>
      </c>
      <c r="Q408" s="81" t="s">
        <v>4928</v>
      </c>
      <c r="R408" s="11">
        <v>27.688551</v>
      </c>
      <c r="S408" s="11">
        <v>-81.652216999999993</v>
      </c>
      <c r="T408" s="11" t="s">
        <v>4929</v>
      </c>
      <c r="U408" s="11" t="s">
        <v>4930</v>
      </c>
      <c r="V408" s="17" t="s">
        <v>4931</v>
      </c>
      <c r="W408" s="17" t="s">
        <v>110</v>
      </c>
      <c r="X408" s="70">
        <v>169</v>
      </c>
      <c r="Y408" s="70">
        <v>151</v>
      </c>
      <c r="Z408" s="13">
        <v>25287</v>
      </c>
      <c r="AA408" s="13">
        <v>25293</v>
      </c>
      <c r="AB408" s="13">
        <v>25863</v>
      </c>
      <c r="AC408" s="13">
        <v>25863</v>
      </c>
      <c r="AD408" s="86">
        <v>9670</v>
      </c>
      <c r="AE408" s="86">
        <v>9670</v>
      </c>
      <c r="AF408" s="70" t="s">
        <v>4932</v>
      </c>
      <c r="AG408" s="17" t="s">
        <v>4933</v>
      </c>
      <c r="AH408" s="17" t="s">
        <v>4934</v>
      </c>
      <c r="AI408" s="70" t="s">
        <v>94</v>
      </c>
      <c r="AJ408" s="17" t="s">
        <v>94</v>
      </c>
      <c r="AK408" s="17" t="s">
        <v>95</v>
      </c>
      <c r="AL408" s="17" t="s">
        <v>94</v>
      </c>
      <c r="AM408" s="17" t="s">
        <v>94</v>
      </c>
      <c r="AN408" s="17" t="s">
        <v>94</v>
      </c>
      <c r="AO408" s="17" t="s">
        <v>98</v>
      </c>
      <c r="AP408" s="17" t="s">
        <v>98</v>
      </c>
      <c r="AQ408" s="17" t="s">
        <v>98</v>
      </c>
      <c r="AR408" s="17" t="s">
        <v>94</v>
      </c>
      <c r="AS408" s="17" t="s">
        <v>4935</v>
      </c>
      <c r="AT408" s="17">
        <v>156</v>
      </c>
      <c r="AU408" s="30" t="s">
        <v>4936</v>
      </c>
      <c r="AV408" s="14">
        <v>8741</v>
      </c>
      <c r="AW408" s="74"/>
      <c r="AX408" s="1"/>
      <c r="AY408" s="17" t="s">
        <v>101</v>
      </c>
    </row>
    <row r="409" spans="1:51" ht="12.75" customHeight="1" x14ac:dyDescent="0.25">
      <c r="A409" s="5">
        <v>404</v>
      </c>
      <c r="B409" s="9">
        <v>404</v>
      </c>
      <c r="C409" s="9" t="s">
        <v>4937</v>
      </c>
      <c r="D409" s="57" t="str">
        <f>HYPERLINK("http://prodenv.dep.state.fl.us/DepNexus/public/electronic-documents/OG_404/facility!search","OG_404_Docs")</f>
        <v>OG_404_Docs</v>
      </c>
      <c r="E409" s="57" t="str">
        <f>HYPERLINK("https://ca.dep.state.fl.us/mapdirect/?focus=oilandgas&amp;zoom=query&amp;querytype=oilandgas&amp;queryvalues=OG_404","OG_404_Map")</f>
        <v>OG_404_Map</v>
      </c>
      <c r="F409" s="1" t="s">
        <v>4912</v>
      </c>
      <c r="G409" s="1" t="s">
        <v>79</v>
      </c>
      <c r="H409" s="1" t="s">
        <v>4913</v>
      </c>
      <c r="I409" s="1" t="s">
        <v>4938</v>
      </c>
      <c r="J409" s="17" t="s">
        <v>82</v>
      </c>
      <c r="K409" s="17" t="s">
        <v>83</v>
      </c>
      <c r="L409" s="17"/>
      <c r="M409" s="17" t="s">
        <v>84</v>
      </c>
      <c r="N409" s="52" t="s">
        <v>4526</v>
      </c>
      <c r="O409" s="17" t="s">
        <v>86</v>
      </c>
      <c r="P409" s="17" t="s">
        <v>86</v>
      </c>
      <c r="Q409" s="81" t="s">
        <v>4939</v>
      </c>
      <c r="R409" s="11">
        <v>30.251190000000001</v>
      </c>
      <c r="S409" s="11">
        <v>-81.972077999999996</v>
      </c>
      <c r="T409" s="11" t="s">
        <v>4940</v>
      </c>
      <c r="U409" s="11" t="s">
        <v>4941</v>
      </c>
      <c r="V409" s="17" t="s">
        <v>4942</v>
      </c>
      <c r="W409" s="17" t="s">
        <v>110</v>
      </c>
      <c r="X409" s="70">
        <v>95</v>
      </c>
      <c r="Y409" s="70">
        <v>86</v>
      </c>
      <c r="Z409" s="13">
        <v>25315</v>
      </c>
      <c r="AA409" s="13">
        <v>25317</v>
      </c>
      <c r="AB409" s="13">
        <v>25339</v>
      </c>
      <c r="AC409" s="13">
        <v>25339</v>
      </c>
      <c r="AD409" s="86">
        <v>3743</v>
      </c>
      <c r="AE409" s="86">
        <v>3743</v>
      </c>
      <c r="AF409" s="70" t="s">
        <v>4943</v>
      </c>
      <c r="AG409" s="17" t="s">
        <v>4944</v>
      </c>
      <c r="AH409" s="17" t="s">
        <v>4945</v>
      </c>
      <c r="AI409" s="70" t="s">
        <v>94</v>
      </c>
      <c r="AJ409" s="17" t="s">
        <v>94</v>
      </c>
      <c r="AK409" s="17" t="s">
        <v>95</v>
      </c>
      <c r="AL409" s="17" t="s">
        <v>4946</v>
      </c>
      <c r="AM409" s="17" t="s">
        <v>94</v>
      </c>
      <c r="AN409" s="17" t="s">
        <v>86</v>
      </c>
      <c r="AO409" s="17" t="s">
        <v>98</v>
      </c>
      <c r="AP409" s="17" t="s">
        <v>98</v>
      </c>
      <c r="AQ409" s="17" t="s">
        <v>98</v>
      </c>
      <c r="AR409" s="17" t="s">
        <v>94</v>
      </c>
      <c r="AS409" s="17" t="s">
        <v>4947</v>
      </c>
      <c r="AT409" s="17">
        <v>106</v>
      </c>
      <c r="AU409" s="30" t="s">
        <v>4948</v>
      </c>
      <c r="AV409" s="14">
        <v>10392</v>
      </c>
      <c r="AW409" s="74"/>
      <c r="AX409" s="1"/>
      <c r="AY409" s="17" t="s">
        <v>101</v>
      </c>
    </row>
    <row r="410" spans="1:51" ht="12.75" customHeight="1" x14ac:dyDescent="0.25">
      <c r="A410" s="5">
        <v>405</v>
      </c>
      <c r="B410" s="9">
        <v>405</v>
      </c>
      <c r="C410" s="9" t="s">
        <v>4949</v>
      </c>
      <c r="D410" s="57" t="str">
        <f>HYPERLINK("http://prodenv.dep.state.fl.us/DepNexus/public/electronic-documents/OG_405/facility!search","OG_405_Docs")</f>
        <v>OG_405_Docs</v>
      </c>
      <c r="E410" s="57" t="str">
        <f>HYPERLINK("https://ca.dep.state.fl.us/mapdirect/?focus=oilandgas&amp;zoom=query&amp;querytype=oilandgas&amp;queryvalues=OG_405","OG_405_Map")</f>
        <v>OG_405_Map</v>
      </c>
      <c r="F410" s="1" t="s">
        <v>1797</v>
      </c>
      <c r="G410" s="1" t="s">
        <v>79</v>
      </c>
      <c r="H410" s="1" t="s">
        <v>4950</v>
      </c>
      <c r="I410" s="1" t="s">
        <v>4951</v>
      </c>
      <c r="J410" s="17" t="s">
        <v>82</v>
      </c>
      <c r="K410" s="17" t="s">
        <v>83</v>
      </c>
      <c r="L410" s="17"/>
      <c r="M410" s="17" t="s">
        <v>101</v>
      </c>
      <c r="N410" s="52" t="s">
        <v>3193</v>
      </c>
      <c r="O410" s="17" t="s">
        <v>86</v>
      </c>
      <c r="P410" s="17" t="s">
        <v>86</v>
      </c>
      <c r="Q410" s="81" t="s">
        <v>4952</v>
      </c>
      <c r="R410" s="11">
        <v>30.511251999999999</v>
      </c>
      <c r="S410" s="11">
        <v>-87.005752999999999</v>
      </c>
      <c r="T410" s="11" t="s">
        <v>4953</v>
      </c>
      <c r="U410" s="11" t="s">
        <v>4954</v>
      </c>
      <c r="V410" s="17" t="s">
        <v>4955</v>
      </c>
      <c r="W410" s="17" t="s">
        <v>110</v>
      </c>
      <c r="X410" s="70"/>
      <c r="Y410" s="70"/>
      <c r="Z410" s="13">
        <v>25329</v>
      </c>
      <c r="AA410" s="13">
        <v>25337</v>
      </c>
      <c r="AB410" s="13">
        <v>25362</v>
      </c>
      <c r="AC410" s="13">
        <v>25363</v>
      </c>
      <c r="AD410" s="86">
        <v>6871</v>
      </c>
      <c r="AE410" s="86">
        <v>6871</v>
      </c>
      <c r="AF410" s="70" t="s">
        <v>94</v>
      </c>
      <c r="AG410" s="17" t="s">
        <v>4956</v>
      </c>
      <c r="AH410" s="17" t="s">
        <v>94</v>
      </c>
      <c r="AI410" s="70" t="s">
        <v>94</v>
      </c>
      <c r="AJ410" s="17" t="s">
        <v>94</v>
      </c>
      <c r="AK410" s="17" t="s">
        <v>95</v>
      </c>
      <c r="AL410" s="17" t="s">
        <v>94</v>
      </c>
      <c r="AM410" s="17" t="s">
        <v>94</v>
      </c>
      <c r="AN410" s="17" t="s">
        <v>94</v>
      </c>
      <c r="AO410" s="17" t="s">
        <v>98</v>
      </c>
      <c r="AP410" s="17" t="s">
        <v>98</v>
      </c>
      <c r="AQ410" s="17" t="s">
        <v>98</v>
      </c>
      <c r="AR410" s="17" t="s">
        <v>94</v>
      </c>
      <c r="AS410" s="17" t="s">
        <v>4957</v>
      </c>
      <c r="AT410" s="17">
        <v>87</v>
      </c>
      <c r="AU410" s="30" t="s">
        <v>4958</v>
      </c>
      <c r="AV410" s="14">
        <v>8803</v>
      </c>
      <c r="AW410" s="74"/>
      <c r="AX410" s="1"/>
      <c r="AY410" s="17" t="s">
        <v>101</v>
      </c>
    </row>
    <row r="411" spans="1:51" ht="12.75" customHeight="1" x14ac:dyDescent="0.25">
      <c r="A411" s="5">
        <v>406</v>
      </c>
      <c r="B411" s="9">
        <v>406</v>
      </c>
      <c r="C411" s="9" t="s">
        <v>4959</v>
      </c>
      <c r="D411" s="57" t="str">
        <f>HYPERLINK("http://prodenv.dep.state.fl.us/DepNexus/public/electronic-documents/OG_406/facility!search","OG_406_Docs")</f>
        <v>OG_406_Docs</v>
      </c>
      <c r="E411" s="57" t="str">
        <f>HYPERLINK("https://ca.dep.state.fl.us/mapdirect/?focus=oilandgas&amp;zoom=query&amp;querytype=oilandgas&amp;queryvalues=OG_406","OG_406_Map")</f>
        <v>OG_406_Map</v>
      </c>
      <c r="F411" s="1" t="s">
        <v>265</v>
      </c>
      <c r="G411" s="1" t="s">
        <v>266</v>
      </c>
      <c r="H411" s="1" t="s">
        <v>176</v>
      </c>
      <c r="I411" s="1" t="s">
        <v>4960</v>
      </c>
      <c r="J411" s="17" t="s">
        <v>268</v>
      </c>
      <c r="K411" s="17" t="s">
        <v>412</v>
      </c>
      <c r="L411" s="17"/>
      <c r="M411" s="17"/>
      <c r="N411" s="52" t="s">
        <v>4961</v>
      </c>
      <c r="O411" s="17" t="s">
        <v>270</v>
      </c>
      <c r="P411" s="17" t="s">
        <v>86</v>
      </c>
      <c r="Q411" s="81" t="s">
        <v>4165</v>
      </c>
      <c r="R411" s="11">
        <v>26.291736</v>
      </c>
      <c r="S411" s="11">
        <v>-81.375461000000001</v>
      </c>
      <c r="T411" s="11" t="s">
        <v>4962</v>
      </c>
      <c r="U411" s="11" t="s">
        <v>4963</v>
      </c>
      <c r="V411" s="17" t="s">
        <v>4964</v>
      </c>
      <c r="W411" s="17" t="s">
        <v>110</v>
      </c>
      <c r="X411" s="70">
        <v>35</v>
      </c>
      <c r="Y411" s="70">
        <v>18</v>
      </c>
      <c r="Z411" s="13">
        <v>25343</v>
      </c>
      <c r="AA411" s="13">
        <v>25368</v>
      </c>
      <c r="AB411" s="13">
        <v>25444</v>
      </c>
      <c r="AC411" s="13">
        <v>33847</v>
      </c>
      <c r="AD411" s="86">
        <v>11715</v>
      </c>
      <c r="AE411" s="86">
        <v>11715</v>
      </c>
      <c r="AF411" s="70" t="s">
        <v>4965</v>
      </c>
      <c r="AG411" s="17" t="s">
        <v>4966</v>
      </c>
      <c r="AH411" s="17" t="s">
        <v>4967</v>
      </c>
      <c r="AI411" s="70" t="s">
        <v>4968</v>
      </c>
      <c r="AJ411" s="17" t="s">
        <v>4969</v>
      </c>
      <c r="AK411" s="17" t="s">
        <v>825</v>
      </c>
      <c r="AL411" s="17" t="s">
        <v>94</v>
      </c>
      <c r="AM411" s="17" t="s">
        <v>94</v>
      </c>
      <c r="AN411" s="17" t="s">
        <v>86</v>
      </c>
      <c r="AO411" s="17" t="s">
        <v>3680</v>
      </c>
      <c r="AP411" s="17" t="s">
        <v>3638</v>
      </c>
      <c r="AQ411" s="17" t="s">
        <v>4970</v>
      </c>
      <c r="AR411" s="17" t="s">
        <v>4971</v>
      </c>
      <c r="AS411" s="17" t="s">
        <v>4972</v>
      </c>
      <c r="AT411" s="17">
        <v>175</v>
      </c>
      <c r="AU411" s="30" t="s">
        <v>4973</v>
      </c>
      <c r="AV411" s="14" t="s">
        <v>94</v>
      </c>
      <c r="AW411" s="74"/>
      <c r="AX411" s="1"/>
      <c r="AY411" s="17" t="s">
        <v>101</v>
      </c>
    </row>
    <row r="412" spans="1:51" ht="15" customHeight="1" x14ac:dyDescent="0.25">
      <c r="A412" s="5">
        <v>407</v>
      </c>
      <c r="B412" s="9">
        <v>407</v>
      </c>
      <c r="C412" s="9" t="s">
        <v>4974</v>
      </c>
      <c r="D412" s="57" t="str">
        <f>HYPERLINK("http://prodenv.dep.state.fl.us/DepNexus/public/electronic-documents/OG_407/facility!search","OG_407_Docs")</f>
        <v>OG_407_Docs</v>
      </c>
      <c r="E412" s="57" t="str">
        <f>HYPERLINK("https://ca.dep.state.fl.us/mapdirect/?focus=oilandgas&amp;zoom=query&amp;querytype=oilandgas&amp;queryvalues=OG_407","OG_407_Map")</f>
        <v>OG_407_Map</v>
      </c>
      <c r="F412" s="1" t="s">
        <v>2026</v>
      </c>
      <c r="G412" s="1" t="s">
        <v>4496</v>
      </c>
      <c r="H412" s="1" t="s">
        <v>176</v>
      </c>
      <c r="I412" s="1" t="s">
        <v>4975</v>
      </c>
      <c r="J412" s="17" t="s">
        <v>268</v>
      </c>
      <c r="K412" s="17" t="s">
        <v>412</v>
      </c>
      <c r="L412" s="17"/>
      <c r="M412" s="17" t="s">
        <v>101</v>
      </c>
      <c r="N412" s="52" t="s">
        <v>4976</v>
      </c>
      <c r="O412" s="17" t="s">
        <v>86</v>
      </c>
      <c r="P412" s="17" t="s">
        <v>86</v>
      </c>
      <c r="Q412" s="81" t="s">
        <v>4977</v>
      </c>
      <c r="R412" s="11">
        <v>26.565882999999999</v>
      </c>
      <c r="S412" s="11">
        <v>-81.592911000000001</v>
      </c>
      <c r="T412" s="11" t="s">
        <v>4978</v>
      </c>
      <c r="U412" s="11" t="s">
        <v>4979</v>
      </c>
      <c r="V412" s="17" t="s">
        <v>4980</v>
      </c>
      <c r="W412" s="17" t="s">
        <v>110</v>
      </c>
      <c r="X412" s="70">
        <v>57</v>
      </c>
      <c r="Y412" s="70">
        <v>31</v>
      </c>
      <c r="Z412" s="13">
        <v>25343</v>
      </c>
      <c r="AA412" s="13">
        <v>25349</v>
      </c>
      <c r="AB412" s="13">
        <v>25712</v>
      </c>
      <c r="AC412" s="13">
        <v>32381</v>
      </c>
      <c r="AD412" s="86">
        <v>15710</v>
      </c>
      <c r="AE412" s="86">
        <v>15710</v>
      </c>
      <c r="AF412" s="70" t="s">
        <v>4981</v>
      </c>
      <c r="AG412" s="17" t="s">
        <v>4982</v>
      </c>
      <c r="AH412" s="17" t="s">
        <v>4983</v>
      </c>
      <c r="AI412" s="70" t="s">
        <v>4984</v>
      </c>
      <c r="AJ412" s="17" t="s">
        <v>94</v>
      </c>
      <c r="AK412" s="17" t="s">
        <v>95</v>
      </c>
      <c r="AL412" s="17" t="s">
        <v>4985</v>
      </c>
      <c r="AM412" s="17" t="s">
        <v>95</v>
      </c>
      <c r="AN412" s="17" t="s">
        <v>4986</v>
      </c>
      <c r="AO412" s="17" t="s">
        <v>4987</v>
      </c>
      <c r="AP412" s="17" t="s">
        <v>94</v>
      </c>
      <c r="AQ412" s="17" t="s">
        <v>4988</v>
      </c>
      <c r="AR412" s="17" t="s">
        <v>4989</v>
      </c>
      <c r="AS412" s="17" t="s">
        <v>4990</v>
      </c>
      <c r="AT412" s="17">
        <v>242</v>
      </c>
      <c r="AU412" s="30" t="s">
        <v>4991</v>
      </c>
      <c r="AV412" s="14">
        <v>10566</v>
      </c>
      <c r="AW412" s="74"/>
      <c r="AX412" s="1"/>
      <c r="AY412" s="17" t="s">
        <v>101</v>
      </c>
    </row>
    <row r="413" spans="1:51" ht="15" customHeight="1" x14ac:dyDescent="0.25">
      <c r="A413" s="5">
        <v>408</v>
      </c>
      <c r="B413" s="9">
        <v>408</v>
      </c>
      <c r="C413" s="9" t="s">
        <v>4992</v>
      </c>
      <c r="D413" s="57" t="str">
        <f>HYPERLINK("http://prodenv.dep.state.fl.us/DepNexus/public/electronic-documents/OG_408/facility!search","OG_408_Docs")</f>
        <v>OG_408_Docs</v>
      </c>
      <c r="E413" s="57" t="str">
        <f>HYPERLINK("https://ca.dep.state.fl.us/mapdirect/?focus=oilandgas&amp;zoom=query&amp;querytype=oilandgas&amp;queryvalues=OG_408","OG_408_Map")</f>
        <v>OG_408_Map</v>
      </c>
      <c r="F413" s="1" t="s">
        <v>2026</v>
      </c>
      <c r="G413" s="1" t="s">
        <v>79</v>
      </c>
      <c r="H413" s="1" t="s">
        <v>4242</v>
      </c>
      <c r="I413" s="1" t="s">
        <v>4993</v>
      </c>
      <c r="J413" s="17" t="s">
        <v>82</v>
      </c>
      <c r="K413" s="17" t="s">
        <v>83</v>
      </c>
      <c r="L413" s="17" t="s">
        <v>101</v>
      </c>
      <c r="M413" s="17" t="s">
        <v>84</v>
      </c>
      <c r="N413" s="52" t="s">
        <v>4735</v>
      </c>
      <c r="O413" s="17" t="s">
        <v>86</v>
      </c>
      <c r="P413" s="17" t="s">
        <v>86</v>
      </c>
      <c r="Q413" s="81" t="s">
        <v>4994</v>
      </c>
      <c r="R413" s="11">
        <v>26.433063000000001</v>
      </c>
      <c r="S413" s="11">
        <v>-81.582379000000003</v>
      </c>
      <c r="T413" s="11" t="s">
        <v>4995</v>
      </c>
      <c r="U413" s="11" t="s">
        <v>4996</v>
      </c>
      <c r="V413" s="17" t="s">
        <v>4997</v>
      </c>
      <c r="W413" s="17" t="s">
        <v>110</v>
      </c>
      <c r="X413" s="70">
        <v>40.9</v>
      </c>
      <c r="Y413" s="70">
        <v>25.5</v>
      </c>
      <c r="Z413" s="13">
        <v>25371</v>
      </c>
      <c r="AA413" s="13">
        <v>25407</v>
      </c>
      <c r="AB413" s="13">
        <v>25461</v>
      </c>
      <c r="AC413" s="13">
        <v>25461</v>
      </c>
      <c r="AD413" s="86">
        <v>11960</v>
      </c>
      <c r="AE413" s="86">
        <v>11960</v>
      </c>
      <c r="AF413" s="70" t="s">
        <v>4998</v>
      </c>
      <c r="AG413" s="23" t="s">
        <v>4999</v>
      </c>
      <c r="AH413" s="17" t="s">
        <v>5000</v>
      </c>
      <c r="AI413" s="70" t="s">
        <v>5001</v>
      </c>
      <c r="AJ413" s="17" t="s">
        <v>94</v>
      </c>
      <c r="AK413" s="17" t="s">
        <v>825</v>
      </c>
      <c r="AL413" s="17" t="s">
        <v>5002</v>
      </c>
      <c r="AM413" s="17" t="s">
        <v>95</v>
      </c>
      <c r="AN413" s="17" t="s">
        <v>5003</v>
      </c>
      <c r="AO413" s="17" t="s">
        <v>5004</v>
      </c>
      <c r="AP413" s="17" t="s">
        <v>5004</v>
      </c>
      <c r="AQ413" s="17" t="s">
        <v>94</v>
      </c>
      <c r="AR413" s="17" t="s">
        <v>94</v>
      </c>
      <c r="AS413" s="17" t="s">
        <v>5005</v>
      </c>
      <c r="AT413" s="17">
        <v>186</v>
      </c>
      <c r="AU413" s="30" t="s">
        <v>5006</v>
      </c>
      <c r="AV413" s="14">
        <v>8745</v>
      </c>
      <c r="AW413" s="74"/>
      <c r="AX413" s="1"/>
      <c r="AY413" s="17" t="s">
        <v>101</v>
      </c>
    </row>
    <row r="414" spans="1:51" ht="12.75" customHeight="1" x14ac:dyDescent="0.25">
      <c r="A414" s="5">
        <v>409</v>
      </c>
      <c r="B414" s="9">
        <v>409</v>
      </c>
      <c r="C414" s="9" t="s">
        <v>5007</v>
      </c>
      <c r="D414" s="57" t="str">
        <f>HYPERLINK("http://prodenv.dep.state.fl.us/DepNexus/public/electronic-documents/OG_409/facility!search","OG_409_Docs")</f>
        <v>OG_409_Docs</v>
      </c>
      <c r="E414" s="57" t="str">
        <f>HYPERLINK("https://ca.dep.state.fl.us/mapdirect/?focus=oilandgas&amp;zoom=query&amp;querytype=oilandgas&amp;queryvalues=OG_409","OG_409_Map")</f>
        <v>OG_409_Map</v>
      </c>
      <c r="F414" s="1" t="s">
        <v>1752</v>
      </c>
      <c r="G414" s="1" t="s">
        <v>4496</v>
      </c>
      <c r="H414" s="1" t="s">
        <v>128</v>
      </c>
      <c r="I414" s="1" t="s">
        <v>5008</v>
      </c>
      <c r="J414" s="17" t="s">
        <v>207</v>
      </c>
      <c r="K414" s="17" t="s">
        <v>208</v>
      </c>
      <c r="L414" s="17"/>
      <c r="M414" s="17" t="s">
        <v>207</v>
      </c>
      <c r="N414" s="52" t="s">
        <v>207</v>
      </c>
      <c r="O414" s="17" t="s">
        <v>86</v>
      </c>
      <c r="P414" s="17" t="s">
        <v>86</v>
      </c>
      <c r="Q414" s="81" t="s">
        <v>5009</v>
      </c>
      <c r="R414" s="11">
        <v>26.531773000000001</v>
      </c>
      <c r="S414" s="11">
        <v>-81.519112000000007</v>
      </c>
      <c r="T414" s="11" t="s">
        <v>5010</v>
      </c>
      <c r="U414" s="11" t="s">
        <v>5011</v>
      </c>
      <c r="V414" s="17" t="s">
        <v>5012</v>
      </c>
      <c r="W414" s="17" t="s">
        <v>110</v>
      </c>
      <c r="X414" s="70"/>
      <c r="Y414" s="70"/>
      <c r="Z414" s="13">
        <v>25378</v>
      </c>
      <c r="AA414" s="13"/>
      <c r="AB414" s="13"/>
      <c r="AC414" s="13"/>
      <c r="AD414" s="86"/>
      <c r="AE414" s="86"/>
      <c r="AF414" s="70" t="s">
        <v>207</v>
      </c>
      <c r="AG414" s="23" t="s">
        <v>207</v>
      </c>
      <c r="AH414" s="17" t="s">
        <v>207</v>
      </c>
      <c r="AI414" s="70" t="s">
        <v>207</v>
      </c>
      <c r="AJ414" s="17" t="s">
        <v>207</v>
      </c>
      <c r="AK414" s="17" t="s">
        <v>207</v>
      </c>
      <c r="AL414" s="17" t="s">
        <v>207</v>
      </c>
      <c r="AM414" s="17" t="s">
        <v>207</v>
      </c>
      <c r="AN414" s="17" t="s">
        <v>207</v>
      </c>
      <c r="AO414" s="17" t="s">
        <v>207</v>
      </c>
      <c r="AP414" s="17" t="s">
        <v>207</v>
      </c>
      <c r="AQ414" s="17" t="s">
        <v>207</v>
      </c>
      <c r="AR414" s="17" t="s">
        <v>207</v>
      </c>
      <c r="AS414" s="17" t="s">
        <v>207</v>
      </c>
      <c r="AT414" s="17"/>
      <c r="AU414" s="30" t="s">
        <v>5013</v>
      </c>
      <c r="AV414" s="14" t="s">
        <v>207</v>
      </c>
      <c r="AW414" s="74"/>
      <c r="AX414" s="1"/>
      <c r="AY414" s="17" t="s">
        <v>101</v>
      </c>
    </row>
    <row r="415" spans="1:51" ht="12.75" customHeight="1" x14ac:dyDescent="0.25">
      <c r="A415" s="5">
        <v>410</v>
      </c>
      <c r="B415" s="9">
        <v>410</v>
      </c>
      <c r="C415" s="9" t="s">
        <v>5014</v>
      </c>
      <c r="D415" s="57" t="str">
        <f>HYPERLINK("http://prodenv.dep.state.fl.us/DepNexus/public/electronic-documents/OG_410/facility!search","OG_410_Docs")</f>
        <v>OG_410_Docs</v>
      </c>
      <c r="E415" s="57" t="str">
        <f>HYPERLINK("https://ca.dep.state.fl.us/mapdirect/?focus=oilandgas&amp;zoom=query&amp;querytype=oilandgas&amp;queryvalues=OG_410","OG_410_Map")</f>
        <v>OG_410_Map</v>
      </c>
      <c r="F415" s="1" t="s">
        <v>4912</v>
      </c>
      <c r="G415" s="1" t="s">
        <v>79</v>
      </c>
      <c r="H415" s="1" t="s">
        <v>4913</v>
      </c>
      <c r="I415" s="1" t="s">
        <v>5015</v>
      </c>
      <c r="J415" s="17" t="s">
        <v>82</v>
      </c>
      <c r="K415" s="17" t="s">
        <v>83</v>
      </c>
      <c r="L415" s="17"/>
      <c r="M415" s="17"/>
      <c r="N415" s="52" t="s">
        <v>5016</v>
      </c>
      <c r="O415" s="17" t="s">
        <v>86</v>
      </c>
      <c r="P415" s="17" t="s">
        <v>86</v>
      </c>
      <c r="Q415" s="81" t="s">
        <v>5017</v>
      </c>
      <c r="R415" s="11">
        <v>30.244005000000001</v>
      </c>
      <c r="S415" s="11">
        <v>-82.031326000000007</v>
      </c>
      <c r="T415" s="11" t="s">
        <v>5018</v>
      </c>
      <c r="U415" s="11" t="s">
        <v>5019</v>
      </c>
      <c r="V415" s="17" t="s">
        <v>5020</v>
      </c>
      <c r="W415" s="17" t="s">
        <v>110</v>
      </c>
      <c r="X415" s="70">
        <v>94</v>
      </c>
      <c r="Y415" s="70">
        <v>85</v>
      </c>
      <c r="Z415" s="13">
        <v>25396</v>
      </c>
      <c r="AA415" s="13">
        <v>25422</v>
      </c>
      <c r="AB415" s="13">
        <v>25422</v>
      </c>
      <c r="AC415" s="13">
        <v>25422</v>
      </c>
      <c r="AD415" s="86">
        <v>3510</v>
      </c>
      <c r="AE415" s="86">
        <v>3510</v>
      </c>
      <c r="AF415" s="70" t="s">
        <v>5021</v>
      </c>
      <c r="AG415" s="17" t="s">
        <v>5022</v>
      </c>
      <c r="AH415" s="17" t="s">
        <v>5023</v>
      </c>
      <c r="AI415" s="70" t="s">
        <v>94</v>
      </c>
      <c r="AJ415" s="17" t="s">
        <v>94</v>
      </c>
      <c r="AK415" s="17" t="s">
        <v>95</v>
      </c>
      <c r="AL415" s="17" t="s">
        <v>5024</v>
      </c>
      <c r="AM415" s="17" t="s">
        <v>94</v>
      </c>
      <c r="AN415" s="17" t="s">
        <v>86</v>
      </c>
      <c r="AO415" s="17" t="s">
        <v>98</v>
      </c>
      <c r="AP415" s="17" t="s">
        <v>98</v>
      </c>
      <c r="AQ415" s="17" t="s">
        <v>98</v>
      </c>
      <c r="AR415" s="17" t="s">
        <v>94</v>
      </c>
      <c r="AS415" s="17" t="s">
        <v>5025</v>
      </c>
      <c r="AT415" s="17">
        <v>110</v>
      </c>
      <c r="AU415" s="30" t="s">
        <v>5026</v>
      </c>
      <c r="AV415" s="14">
        <v>8898</v>
      </c>
      <c r="AW415" s="74"/>
      <c r="AX415" s="1" t="s">
        <v>5027</v>
      </c>
      <c r="AY415" s="17" t="s">
        <v>101</v>
      </c>
    </row>
    <row r="416" spans="1:51" ht="12.75" customHeight="1" x14ac:dyDescent="0.25">
      <c r="A416" s="5">
        <v>411</v>
      </c>
      <c r="B416" s="9">
        <v>411</v>
      </c>
      <c r="C416" s="9" t="s">
        <v>5028</v>
      </c>
      <c r="D416" s="57" t="str">
        <f>HYPERLINK("http://prodenv.dep.state.fl.us/DepNexus/public/electronic-documents/OG_411/facility!search","OG_411_Docs")</f>
        <v>OG_411_Docs</v>
      </c>
      <c r="E416" s="57" t="str">
        <f>HYPERLINK("https://ca.dep.state.fl.us/mapdirect/?focus=oilandgas&amp;zoom=query&amp;querytype=oilandgas&amp;queryvalues=OG_411","OG_411_Map")</f>
        <v>OG_411_Map</v>
      </c>
      <c r="F416" s="1" t="s">
        <v>1752</v>
      </c>
      <c r="G416" s="1" t="s">
        <v>4496</v>
      </c>
      <c r="H416" s="1" t="s">
        <v>5029</v>
      </c>
      <c r="I416" s="1" t="s">
        <v>5030</v>
      </c>
      <c r="J416" s="17" t="s">
        <v>268</v>
      </c>
      <c r="K416" s="17" t="s">
        <v>2105</v>
      </c>
      <c r="L416" s="17"/>
      <c r="M416" s="17"/>
      <c r="N416" s="52" t="s">
        <v>3956</v>
      </c>
      <c r="O416" s="17" t="s">
        <v>86</v>
      </c>
      <c r="P416" s="17" t="s">
        <v>86</v>
      </c>
      <c r="Q416" s="81" t="s">
        <v>5031</v>
      </c>
      <c r="R416" s="11">
        <v>26.524381999999999</v>
      </c>
      <c r="S416" s="11">
        <v>-81.526787999999996</v>
      </c>
      <c r="T416" s="11" t="s">
        <v>5032</v>
      </c>
      <c r="U416" s="11" t="s">
        <v>5033</v>
      </c>
      <c r="V416" s="17" t="s">
        <v>5034</v>
      </c>
      <c r="W416" s="17" t="s">
        <v>110</v>
      </c>
      <c r="X416" s="70">
        <v>50</v>
      </c>
      <c r="Y416" s="70">
        <v>31</v>
      </c>
      <c r="Z416" s="13">
        <v>25426</v>
      </c>
      <c r="AA416" s="13">
        <v>25471</v>
      </c>
      <c r="AB416" s="13">
        <v>25513</v>
      </c>
      <c r="AC416" s="13">
        <v>35383</v>
      </c>
      <c r="AD416" s="86">
        <v>11685</v>
      </c>
      <c r="AE416" s="86">
        <v>11685</v>
      </c>
      <c r="AF416" s="70" t="s">
        <v>5035</v>
      </c>
      <c r="AG416" s="17" t="s">
        <v>4627</v>
      </c>
      <c r="AH416" s="17" t="s">
        <v>5036</v>
      </c>
      <c r="AI416" s="70" t="s">
        <v>5037</v>
      </c>
      <c r="AJ416" s="17" t="s">
        <v>5038</v>
      </c>
      <c r="AK416" s="17" t="s">
        <v>825</v>
      </c>
      <c r="AL416" s="17" t="s">
        <v>5039</v>
      </c>
      <c r="AM416" s="17" t="s">
        <v>825</v>
      </c>
      <c r="AN416" s="17" t="s">
        <v>86</v>
      </c>
      <c r="AO416" s="17" t="s">
        <v>5040</v>
      </c>
      <c r="AP416" s="17" t="s">
        <v>5041</v>
      </c>
      <c r="AQ416" s="17" t="s">
        <v>5042</v>
      </c>
      <c r="AR416" s="17" t="s">
        <v>5043</v>
      </c>
      <c r="AS416" s="17" t="s">
        <v>5044</v>
      </c>
      <c r="AT416" s="17"/>
      <c r="AU416" s="30" t="s">
        <v>5045</v>
      </c>
      <c r="AV416" s="14">
        <v>10324</v>
      </c>
      <c r="AW416" s="74"/>
      <c r="AX416" s="1"/>
      <c r="AY416" s="17" t="s">
        <v>101</v>
      </c>
    </row>
    <row r="417" spans="1:51" ht="15" customHeight="1" x14ac:dyDescent="0.25">
      <c r="A417" s="5">
        <v>412</v>
      </c>
      <c r="B417" s="9">
        <v>412</v>
      </c>
      <c r="C417" s="9" t="s">
        <v>5046</v>
      </c>
      <c r="D417" s="57" t="str">
        <f>HYPERLINK("http://prodenv.dep.state.fl.us/DepNexus/public/electronic-documents/OG_412/facility!search","OG_412_Docs")</f>
        <v>OG_412_Docs</v>
      </c>
      <c r="E417" s="57" t="str">
        <f>HYPERLINK("https://ca.dep.state.fl.us/mapdirect/?focus=oilandgas&amp;zoom=query&amp;querytype=oilandgas&amp;queryvalues=OG_412","OG_412_Map")</f>
        <v>OG_412_Map</v>
      </c>
      <c r="F417" s="1" t="s">
        <v>1752</v>
      </c>
      <c r="G417" s="1" t="s">
        <v>4496</v>
      </c>
      <c r="H417" s="1" t="s">
        <v>3624</v>
      </c>
      <c r="I417" s="1" t="s">
        <v>5047</v>
      </c>
      <c r="J417" s="17" t="s">
        <v>268</v>
      </c>
      <c r="K417" s="17" t="s">
        <v>5048</v>
      </c>
      <c r="L417" s="17"/>
      <c r="M417" s="17"/>
      <c r="N417" s="52" t="s">
        <v>5049</v>
      </c>
      <c r="O417" s="17" t="s">
        <v>86</v>
      </c>
      <c r="P417" s="17" t="s">
        <v>86</v>
      </c>
      <c r="Q417" s="81" t="s">
        <v>5050</v>
      </c>
      <c r="R417" s="11">
        <v>26.524865999999999</v>
      </c>
      <c r="S417" s="11">
        <v>-81.534232000000003</v>
      </c>
      <c r="T417" s="11" t="s">
        <v>5051</v>
      </c>
      <c r="U417" s="11" t="s">
        <v>5052</v>
      </c>
      <c r="V417" s="17" t="s">
        <v>5053</v>
      </c>
      <c r="W417" s="17" t="s">
        <v>110</v>
      </c>
      <c r="X417" s="70">
        <v>46.31</v>
      </c>
      <c r="Y417" s="70">
        <v>30</v>
      </c>
      <c r="Z417" s="13">
        <v>25497</v>
      </c>
      <c r="AA417" s="13">
        <v>25505</v>
      </c>
      <c r="AB417" s="13">
        <v>25564</v>
      </c>
      <c r="AC417" s="13">
        <v>36991</v>
      </c>
      <c r="AD417" s="86">
        <v>11600</v>
      </c>
      <c r="AE417" s="86">
        <v>11600</v>
      </c>
      <c r="AF417" s="70" t="s">
        <v>5054</v>
      </c>
      <c r="AG417" s="17" t="s">
        <v>5055</v>
      </c>
      <c r="AH417" s="17" t="s">
        <v>5056</v>
      </c>
      <c r="AI417" s="70" t="s">
        <v>5057</v>
      </c>
      <c r="AJ417" s="17" t="s">
        <v>5058</v>
      </c>
      <c r="AK417" s="17" t="s">
        <v>825</v>
      </c>
      <c r="AL417" s="17" t="s">
        <v>5059</v>
      </c>
      <c r="AM417" s="17" t="s">
        <v>95</v>
      </c>
      <c r="AN417" s="17" t="s">
        <v>86</v>
      </c>
      <c r="AO417" s="17" t="s">
        <v>5060</v>
      </c>
      <c r="AP417" s="17" t="s">
        <v>5061</v>
      </c>
      <c r="AQ417" s="17" t="s">
        <v>5062</v>
      </c>
      <c r="AR417" s="17" t="s">
        <v>5063</v>
      </c>
      <c r="AS417" s="17" t="s">
        <v>5064</v>
      </c>
      <c r="AT417" s="17">
        <v>184</v>
      </c>
      <c r="AU417" s="30" t="s">
        <v>5065</v>
      </c>
      <c r="AV417" s="14">
        <v>10322</v>
      </c>
      <c r="AW417" s="74"/>
      <c r="AX417" s="1"/>
      <c r="AY417" s="17" t="s">
        <v>101</v>
      </c>
    </row>
    <row r="418" spans="1:51" ht="15" customHeight="1" x14ac:dyDescent="0.25">
      <c r="A418" s="5">
        <v>413</v>
      </c>
      <c r="B418" s="9">
        <v>413</v>
      </c>
      <c r="C418" s="9" t="s">
        <v>5066</v>
      </c>
      <c r="D418" s="57" t="str">
        <f>HYPERLINK("http://prodenv.dep.state.fl.us/DepNexus/public/electronic-documents/OG_413/facility!search","OG_413_Docs")</f>
        <v>OG_413_Docs</v>
      </c>
      <c r="E418" s="57" t="str">
        <f>HYPERLINK("https://ca.dep.state.fl.us/mapdirect/?focus=oilandgas&amp;zoom=query&amp;querytype=oilandgas&amp;queryvalues=OG_413","OG_413_Map")</f>
        <v>OG_413_Map</v>
      </c>
      <c r="F418" s="1" t="s">
        <v>1752</v>
      </c>
      <c r="G418" s="1" t="s">
        <v>4496</v>
      </c>
      <c r="H418" s="1" t="s">
        <v>5029</v>
      </c>
      <c r="I418" s="1" t="s">
        <v>5067</v>
      </c>
      <c r="J418" s="17" t="s">
        <v>268</v>
      </c>
      <c r="K418" s="17" t="s">
        <v>412</v>
      </c>
      <c r="L418" s="17"/>
      <c r="M418" s="17"/>
      <c r="N418" s="52" t="s">
        <v>3956</v>
      </c>
      <c r="O418" s="17" t="s">
        <v>86</v>
      </c>
      <c r="P418" s="17" t="s">
        <v>86</v>
      </c>
      <c r="Q418" s="81" t="s">
        <v>5068</v>
      </c>
      <c r="R418" s="11">
        <v>26.531046</v>
      </c>
      <c r="S418" s="11">
        <v>-81.534141000000005</v>
      </c>
      <c r="T418" s="11" t="s">
        <v>5069</v>
      </c>
      <c r="U418" s="11" t="s">
        <v>5070</v>
      </c>
      <c r="V418" s="17" t="s">
        <v>5071</v>
      </c>
      <c r="W418" s="17" t="s">
        <v>110</v>
      </c>
      <c r="X418" s="70">
        <v>50</v>
      </c>
      <c r="Y418" s="70">
        <v>32</v>
      </c>
      <c r="Z418" s="13">
        <v>25504</v>
      </c>
      <c r="AA418" s="13">
        <v>25581</v>
      </c>
      <c r="AB418" s="13">
        <v>25629</v>
      </c>
      <c r="AC418" s="13">
        <v>37047</v>
      </c>
      <c r="AD418" s="86">
        <v>11550</v>
      </c>
      <c r="AE418" s="86">
        <v>11550</v>
      </c>
      <c r="AF418" s="70" t="s">
        <v>3727</v>
      </c>
      <c r="AG418" s="17" t="s">
        <v>5072</v>
      </c>
      <c r="AH418" s="17" t="s">
        <v>5073</v>
      </c>
      <c r="AI418" s="70" t="s">
        <v>4094</v>
      </c>
      <c r="AJ418" s="17" t="s">
        <v>5074</v>
      </c>
      <c r="AK418" s="17" t="s">
        <v>94</v>
      </c>
      <c r="AL418" s="17" t="s">
        <v>5075</v>
      </c>
      <c r="AM418" s="17"/>
      <c r="AN418" s="17" t="s">
        <v>86</v>
      </c>
      <c r="AO418" s="17" t="s">
        <v>5076</v>
      </c>
      <c r="AP418" s="17" t="s">
        <v>5077</v>
      </c>
      <c r="AQ418" s="17" t="s">
        <v>5078</v>
      </c>
      <c r="AR418" s="17" t="s">
        <v>5079</v>
      </c>
      <c r="AS418" s="17" t="s">
        <v>5080</v>
      </c>
      <c r="AT418" s="17"/>
      <c r="AU418" s="30" t="s">
        <v>5081</v>
      </c>
      <c r="AV418" s="14">
        <v>10441</v>
      </c>
      <c r="AW418" s="74"/>
      <c r="AX418" s="1"/>
      <c r="AY418" s="17" t="s">
        <v>101</v>
      </c>
    </row>
    <row r="419" spans="1:51" ht="15" customHeight="1" x14ac:dyDescent="0.25">
      <c r="A419" s="5">
        <v>414</v>
      </c>
      <c r="B419" s="9">
        <v>414</v>
      </c>
      <c r="C419" s="9" t="s">
        <v>5082</v>
      </c>
      <c r="D419" s="57" t="str">
        <f>HYPERLINK("http://prodenv.dep.state.fl.us/DepNexus/public/electronic-documents/OG_414/facility!search","OG_414_Docs")</f>
        <v>OG_414_Docs</v>
      </c>
      <c r="E419" s="57" t="str">
        <f>HYPERLINK("https://ca.dep.state.fl.us/mapdirect/?focus=oilandgas&amp;zoom=query&amp;querytype=oilandgas&amp;queryvalues=OG_414","OG_414_Map")</f>
        <v>OG_414_Map</v>
      </c>
      <c r="F419" s="1" t="s">
        <v>1752</v>
      </c>
      <c r="G419" s="1" t="s">
        <v>4496</v>
      </c>
      <c r="H419" s="1" t="s">
        <v>3669</v>
      </c>
      <c r="I419" s="1" t="s">
        <v>5083</v>
      </c>
      <c r="J419" s="17" t="s">
        <v>82</v>
      </c>
      <c r="K419" s="17" t="s">
        <v>83</v>
      </c>
      <c r="L419" s="17"/>
      <c r="M419" s="17"/>
      <c r="N419" s="52" t="s">
        <v>5084</v>
      </c>
      <c r="O419" s="17" t="s">
        <v>86</v>
      </c>
      <c r="P419" s="17" t="s">
        <v>86</v>
      </c>
      <c r="Q419" s="81" t="s">
        <v>5085</v>
      </c>
      <c r="R419" s="11">
        <v>26.517441000000002</v>
      </c>
      <c r="S419" s="11">
        <v>-81.526020000000003</v>
      </c>
      <c r="T419" s="11" t="s">
        <v>5086</v>
      </c>
      <c r="U419" s="11" t="s">
        <v>5087</v>
      </c>
      <c r="V419" s="17" t="s">
        <v>5088</v>
      </c>
      <c r="W419" s="17" t="s">
        <v>110</v>
      </c>
      <c r="X419" s="70">
        <v>46</v>
      </c>
      <c r="Y419" s="70">
        <v>28</v>
      </c>
      <c r="Z419" s="13">
        <v>25525</v>
      </c>
      <c r="AA419" s="13">
        <v>25540</v>
      </c>
      <c r="AB419" s="13"/>
      <c r="AC419" s="13">
        <v>25573</v>
      </c>
      <c r="AD419" s="86">
        <v>11672</v>
      </c>
      <c r="AE419" s="86">
        <v>11672</v>
      </c>
      <c r="AF419" s="70" t="s">
        <v>5089</v>
      </c>
      <c r="AG419" s="17" t="s">
        <v>5090</v>
      </c>
      <c r="AH419" s="17" t="s">
        <v>5091</v>
      </c>
      <c r="AI419" s="70" t="s">
        <v>94</v>
      </c>
      <c r="AJ419" s="17" t="s">
        <v>94</v>
      </c>
      <c r="AK419" s="17" t="s">
        <v>95</v>
      </c>
      <c r="AL419" s="17" t="s">
        <v>5092</v>
      </c>
      <c r="AM419" s="17" t="s">
        <v>825</v>
      </c>
      <c r="AN419" s="17" t="s">
        <v>5093</v>
      </c>
      <c r="AO419" s="17" t="s">
        <v>98</v>
      </c>
      <c r="AP419" s="17" t="s">
        <v>98</v>
      </c>
      <c r="AQ419" s="17" t="s">
        <v>98</v>
      </c>
      <c r="AR419" s="17" t="s">
        <v>94</v>
      </c>
      <c r="AS419" s="17" t="s">
        <v>5094</v>
      </c>
      <c r="AT419" s="17"/>
      <c r="AU419" s="30" t="s">
        <v>5095</v>
      </c>
      <c r="AV419" s="14">
        <v>10486</v>
      </c>
      <c r="AW419" s="74"/>
      <c r="AX419" s="1" t="s">
        <v>5096</v>
      </c>
      <c r="AY419" s="17" t="s">
        <v>101</v>
      </c>
    </row>
    <row r="420" spans="1:51" ht="12.75" customHeight="1" x14ac:dyDescent="0.25">
      <c r="A420" s="5">
        <v>415</v>
      </c>
      <c r="B420" s="9">
        <v>415</v>
      </c>
      <c r="C420" s="9" t="s">
        <v>5097</v>
      </c>
      <c r="D420" s="57" t="str">
        <f>HYPERLINK("http://prodenv.dep.state.fl.us/DepNexus/public/electronic-documents/OG_415/facility!search","OG_415_Docs")</f>
        <v>OG_415_Docs</v>
      </c>
      <c r="E420" s="57" t="str">
        <f>HYPERLINK("https://ca.dep.state.fl.us/mapdirect/?focus=oilandgas&amp;zoom=query&amp;querytype=oilandgas&amp;queryvalues=OG_415","OG_415_Map")</f>
        <v>OG_415_Map</v>
      </c>
      <c r="F420" s="1" t="s">
        <v>290</v>
      </c>
      <c r="G420" s="1" t="s">
        <v>79</v>
      </c>
      <c r="H420" s="1" t="s">
        <v>5098</v>
      </c>
      <c r="I420" s="1" t="s">
        <v>5099</v>
      </c>
      <c r="J420" s="17" t="s">
        <v>207</v>
      </c>
      <c r="K420" s="17" t="s">
        <v>208</v>
      </c>
      <c r="L420" s="17"/>
      <c r="M420" s="17" t="s">
        <v>207</v>
      </c>
      <c r="N420" s="52" t="s">
        <v>86</v>
      </c>
      <c r="O420" s="17" t="s">
        <v>270</v>
      </c>
      <c r="P420" s="17" t="s">
        <v>86</v>
      </c>
      <c r="Q420" s="81" t="s">
        <v>5100</v>
      </c>
      <c r="R420" s="11">
        <v>25.762563</v>
      </c>
      <c r="S420" s="11">
        <v>-80.919157999999996</v>
      </c>
      <c r="T420" s="11" t="s">
        <v>5101</v>
      </c>
      <c r="U420" s="11" t="s">
        <v>5102</v>
      </c>
      <c r="V420" s="17" t="s">
        <v>5103</v>
      </c>
      <c r="W420" s="17" t="s">
        <v>110</v>
      </c>
      <c r="X420" s="70"/>
      <c r="Y420" s="70"/>
      <c r="Z420" s="13">
        <v>25539</v>
      </c>
      <c r="AA420" s="13"/>
      <c r="AB420" s="13"/>
      <c r="AC420" s="13"/>
      <c r="AD420" s="86"/>
      <c r="AE420" s="70"/>
      <c r="AF420" s="70" t="s">
        <v>207</v>
      </c>
      <c r="AG420" s="14" t="s">
        <v>207</v>
      </c>
      <c r="AH420" s="14" t="s">
        <v>207</v>
      </c>
      <c r="AI420" s="70" t="s">
        <v>207</v>
      </c>
      <c r="AJ420" s="14" t="s">
        <v>207</v>
      </c>
      <c r="AK420" s="14" t="s">
        <v>207</v>
      </c>
      <c r="AL420" s="14" t="s">
        <v>207</v>
      </c>
      <c r="AM420" s="14" t="s">
        <v>207</v>
      </c>
      <c r="AN420" s="14" t="s">
        <v>207</v>
      </c>
      <c r="AO420" s="14" t="s">
        <v>207</v>
      </c>
      <c r="AP420" s="14" t="s">
        <v>207</v>
      </c>
      <c r="AQ420" s="14" t="s">
        <v>207</v>
      </c>
      <c r="AR420" s="14" t="s">
        <v>207</v>
      </c>
      <c r="AS420" s="14" t="s">
        <v>207</v>
      </c>
      <c r="AT420" s="14" t="s">
        <v>207</v>
      </c>
      <c r="AU420" s="30" t="s">
        <v>5104</v>
      </c>
      <c r="AV420" s="14" t="s">
        <v>207</v>
      </c>
      <c r="AW420" s="74"/>
      <c r="AX420" s="1"/>
      <c r="AY420" s="17" t="s">
        <v>101</v>
      </c>
    </row>
    <row r="421" spans="1:51" ht="12.75" customHeight="1" x14ac:dyDescent="0.25">
      <c r="A421" s="5">
        <v>416</v>
      </c>
      <c r="B421" s="9">
        <v>416</v>
      </c>
      <c r="C421" s="9" t="s">
        <v>5105</v>
      </c>
      <c r="D421" s="57" t="str">
        <f>HYPERLINK("http://prodenv.dep.state.fl.us/DepNexus/public/electronic-documents/OG_416/facility!search","OG_416_Docs")</f>
        <v>OG_416_Docs</v>
      </c>
      <c r="E421" s="57" t="str">
        <f>HYPERLINK("https://ca.dep.state.fl.us/mapdirect/?focus=oilandgas&amp;zoom=query&amp;querytype=oilandgas&amp;queryvalues=OG_416","OG_416_Map")</f>
        <v>OG_416_Map</v>
      </c>
      <c r="F421" s="1" t="s">
        <v>1752</v>
      </c>
      <c r="G421" s="1" t="s">
        <v>4496</v>
      </c>
      <c r="H421" s="1" t="s">
        <v>3624</v>
      </c>
      <c r="I421" s="1" t="s">
        <v>5106</v>
      </c>
      <c r="J421" s="17" t="s">
        <v>5107</v>
      </c>
      <c r="K421" s="17" t="s">
        <v>412</v>
      </c>
      <c r="L421" s="17"/>
      <c r="M421" s="17"/>
      <c r="N421" s="52" t="s">
        <v>3956</v>
      </c>
      <c r="O421" s="17" t="s">
        <v>86</v>
      </c>
      <c r="P421" s="17" t="s">
        <v>86</v>
      </c>
      <c r="Q421" s="81" t="s">
        <v>5108</v>
      </c>
      <c r="R421" s="11">
        <v>26.524045000000001</v>
      </c>
      <c r="S421" s="11">
        <v>-81.542829999999995</v>
      </c>
      <c r="T421" s="11" t="s">
        <v>5109</v>
      </c>
      <c r="U421" s="11" t="s">
        <v>5110</v>
      </c>
      <c r="V421" s="17" t="s">
        <v>5111</v>
      </c>
      <c r="W421" s="17" t="s">
        <v>110</v>
      </c>
      <c r="X421" s="70">
        <v>47</v>
      </c>
      <c r="Y421" s="70">
        <v>30</v>
      </c>
      <c r="Z421" s="13">
        <v>25616</v>
      </c>
      <c r="AA421" s="13">
        <v>25614</v>
      </c>
      <c r="AB421" s="13">
        <v>25665</v>
      </c>
      <c r="AC421" s="13">
        <v>40880</v>
      </c>
      <c r="AD421" s="86">
        <v>11674</v>
      </c>
      <c r="AE421" s="86">
        <v>11674</v>
      </c>
      <c r="AF421" s="70" t="s">
        <v>5112</v>
      </c>
      <c r="AG421" s="17" t="s">
        <v>5113</v>
      </c>
      <c r="AH421" s="17" t="s">
        <v>5114</v>
      </c>
      <c r="AI421" s="70" t="s">
        <v>5115</v>
      </c>
      <c r="AJ421" s="17" t="s">
        <v>5116</v>
      </c>
      <c r="AK421" s="17" t="s">
        <v>95</v>
      </c>
      <c r="AL421" s="17" t="s">
        <v>5117</v>
      </c>
      <c r="AM421" s="17" t="s">
        <v>94</v>
      </c>
      <c r="AN421" s="17" t="s">
        <v>86</v>
      </c>
      <c r="AO421" s="17" t="s">
        <v>5118</v>
      </c>
      <c r="AP421" s="17" t="s">
        <v>5061</v>
      </c>
      <c r="AQ421" s="17" t="s">
        <v>425</v>
      </c>
      <c r="AR421" s="17" t="s">
        <v>5119</v>
      </c>
      <c r="AS421" s="17" t="s">
        <v>5120</v>
      </c>
      <c r="AT421" s="17">
        <v>188</v>
      </c>
      <c r="AU421" s="30" t="s">
        <v>5121</v>
      </c>
      <c r="AV421" s="14">
        <v>10431</v>
      </c>
      <c r="AW421" s="74">
        <v>305504</v>
      </c>
      <c r="AX421" s="1"/>
      <c r="AY421" s="17" t="s">
        <v>101</v>
      </c>
    </row>
    <row r="422" spans="1:51" ht="15" customHeight="1" x14ac:dyDescent="0.25">
      <c r="A422" s="5">
        <v>416.1</v>
      </c>
      <c r="B422" s="9" t="s">
        <v>5122</v>
      </c>
      <c r="C422" s="9" t="s">
        <v>5105</v>
      </c>
      <c r="D422" s="57" t="str">
        <f>HYPERLINK("http://prodenv.dep.state.fl.us/DepNexus/public/electronic-documents/OG_416/facility!search","OG_416_Docs")</f>
        <v>OG_416_Docs</v>
      </c>
      <c r="E422" s="57" t="str">
        <f>HYPERLINK("https://ca.dep.state.fl.us/mapdirect/?focus=oilandgas&amp;zoom=query&amp;querytype=oilandgas&amp;queryvalues=OG_416","OG_416_Map")</f>
        <v>OG_416_Map</v>
      </c>
      <c r="F422" s="1" t="s">
        <v>1752</v>
      </c>
      <c r="G422" s="1" t="s">
        <v>4496</v>
      </c>
      <c r="H422" s="1" t="s">
        <v>1363</v>
      </c>
      <c r="I422" s="1" t="s">
        <v>5123</v>
      </c>
      <c r="J422" s="17" t="s">
        <v>3646</v>
      </c>
      <c r="K422" s="17" t="s">
        <v>412</v>
      </c>
      <c r="L422" s="17"/>
      <c r="M422" s="17"/>
      <c r="N422" s="52" t="s">
        <v>5124</v>
      </c>
      <c r="O422" s="17" t="s">
        <v>86</v>
      </c>
      <c r="P422" s="17" t="s">
        <v>86</v>
      </c>
      <c r="Q422" s="81" t="s">
        <v>5108</v>
      </c>
      <c r="R422" s="11">
        <v>26.524045000000001</v>
      </c>
      <c r="S422" s="11">
        <v>-81.542829999999995</v>
      </c>
      <c r="T422" s="11" t="s">
        <v>5109</v>
      </c>
      <c r="U422" s="11" t="s">
        <v>5110</v>
      </c>
      <c r="V422" s="17" t="s">
        <v>5125</v>
      </c>
      <c r="W422" s="17" t="s">
        <v>5126</v>
      </c>
      <c r="X422" s="70"/>
      <c r="Y422" s="70"/>
      <c r="Z422" s="13">
        <v>40703</v>
      </c>
      <c r="AA422" s="13">
        <v>40884</v>
      </c>
      <c r="AB422" s="13"/>
      <c r="AC422" s="13"/>
      <c r="AD422" s="86">
        <v>11465</v>
      </c>
      <c r="AE422" s="70">
        <v>13645</v>
      </c>
      <c r="AF422" s="70" t="s">
        <v>3961</v>
      </c>
      <c r="AG422" s="17" t="s">
        <v>5113</v>
      </c>
      <c r="AH422" s="17" t="s">
        <v>5127</v>
      </c>
      <c r="AI422" s="70" t="s">
        <v>5128</v>
      </c>
      <c r="AJ422" s="17"/>
      <c r="AK422" s="17"/>
      <c r="AL422" s="17"/>
      <c r="AM422" s="17" t="s">
        <v>94</v>
      </c>
      <c r="AN422" s="17" t="s">
        <v>86</v>
      </c>
      <c r="AO422" s="17"/>
      <c r="AP422" s="17"/>
      <c r="AQ422" s="17"/>
      <c r="AR422" s="17" t="s">
        <v>5129</v>
      </c>
      <c r="AS422" s="17"/>
      <c r="AT422" s="17"/>
      <c r="AU422" s="30" t="s">
        <v>5130</v>
      </c>
      <c r="AV422" s="14"/>
      <c r="AW422" s="74">
        <v>305504</v>
      </c>
      <c r="AX422" s="73" t="s">
        <v>5131</v>
      </c>
      <c r="AY422" s="17" t="s">
        <v>101</v>
      </c>
    </row>
    <row r="423" spans="1:51" ht="15" customHeight="1" x14ac:dyDescent="0.25">
      <c r="A423" s="5">
        <v>417</v>
      </c>
      <c r="B423" s="9">
        <v>417</v>
      </c>
      <c r="C423" s="9" t="s">
        <v>5132</v>
      </c>
      <c r="D423" s="57" t="str">
        <f>HYPERLINK("http://prodenv.dep.state.fl.us/DepNexus/public/electronic-documents/OG_417/facility!search","OG_417_Docs")</f>
        <v>OG_417_Docs</v>
      </c>
      <c r="E423" s="57" t="str">
        <f>HYPERLINK("https://ca.dep.state.fl.us/mapdirect/?focus=oilandgas&amp;zoom=query&amp;querytype=oilandgas&amp;queryvalues=OG_417","OG_417_Map")</f>
        <v>OG_417_Map</v>
      </c>
      <c r="F423" s="1" t="s">
        <v>1797</v>
      </c>
      <c r="G423" s="1" t="s">
        <v>5133</v>
      </c>
      <c r="H423" s="1" t="s">
        <v>1363</v>
      </c>
      <c r="I423" s="24" t="s">
        <v>5134</v>
      </c>
      <c r="J423" s="17" t="s">
        <v>5135</v>
      </c>
      <c r="K423" s="17" t="s">
        <v>4266</v>
      </c>
      <c r="L423" s="17"/>
      <c r="M423" s="17" t="s">
        <v>101</v>
      </c>
      <c r="N423" s="52" t="s">
        <v>5136</v>
      </c>
      <c r="O423" s="17" t="s">
        <v>86</v>
      </c>
      <c r="P423" s="17" t="s">
        <v>86</v>
      </c>
      <c r="Q423" s="81" t="s">
        <v>5137</v>
      </c>
      <c r="R423" s="11">
        <v>30.964552999999999</v>
      </c>
      <c r="S423" s="11">
        <v>-87.177854999999994</v>
      </c>
      <c r="T423" s="11" t="s">
        <v>5138</v>
      </c>
      <c r="U423" s="11" t="s">
        <v>5139</v>
      </c>
      <c r="V423" s="17" t="s">
        <v>5140</v>
      </c>
      <c r="W423" s="17" t="s">
        <v>110</v>
      </c>
      <c r="X423" s="70">
        <v>204.3</v>
      </c>
      <c r="Y423" s="70">
        <v>188.3</v>
      </c>
      <c r="Z423" s="13">
        <v>25637</v>
      </c>
      <c r="AA423" s="13">
        <v>25644</v>
      </c>
      <c r="AB423" s="13">
        <v>25734</v>
      </c>
      <c r="AC423" s="13"/>
      <c r="AD423" s="86">
        <v>15984</v>
      </c>
      <c r="AE423" s="86">
        <v>15984</v>
      </c>
      <c r="AF423" s="70" t="s">
        <v>5141</v>
      </c>
      <c r="AG423" s="17" t="s">
        <v>5142</v>
      </c>
      <c r="AH423" s="17" t="s">
        <v>94</v>
      </c>
      <c r="AI423" s="70" t="s">
        <v>5143</v>
      </c>
      <c r="AJ423" s="17" t="s">
        <v>5144</v>
      </c>
      <c r="AK423" s="17" t="s">
        <v>95</v>
      </c>
      <c r="AL423" s="17" t="s">
        <v>5145</v>
      </c>
      <c r="AM423" s="17" t="s">
        <v>95</v>
      </c>
      <c r="AN423" s="17"/>
      <c r="AO423" s="17" t="s">
        <v>5146</v>
      </c>
      <c r="AP423" s="17" t="s">
        <v>5147</v>
      </c>
      <c r="AQ423" s="17" t="s">
        <v>3898</v>
      </c>
      <c r="AR423" s="17" t="s">
        <v>5148</v>
      </c>
      <c r="AS423" s="17"/>
      <c r="AT423" s="17">
        <v>244</v>
      </c>
      <c r="AU423" s="30" t="s">
        <v>5149</v>
      </c>
      <c r="AV423" s="14">
        <v>10565</v>
      </c>
      <c r="AW423" s="74">
        <v>313293</v>
      </c>
      <c r="AX423" s="38" t="s">
        <v>5150</v>
      </c>
      <c r="AY423" s="17" t="s">
        <v>101</v>
      </c>
    </row>
    <row r="424" spans="1:51" ht="15" customHeight="1" x14ac:dyDescent="0.25">
      <c r="A424" s="5">
        <v>417.1</v>
      </c>
      <c r="B424" s="9" t="s">
        <v>5151</v>
      </c>
      <c r="C424" s="9" t="s">
        <v>5132</v>
      </c>
      <c r="D424" s="57" t="str">
        <f>HYPERLINK("http://prodenv.dep.state.fl.us/DepNexus/public/electronic-documents/OG_417/facility!search","OG_417_Docs")</f>
        <v>OG_417_Docs</v>
      </c>
      <c r="E424" s="57" t="str">
        <f>HYPERLINK("https://ca.dep.state.fl.us/mapdirect/?focus=oilandgas&amp;zoom=query&amp;querytype=oilandgas&amp;queryvalues=OG_417","OG_417_Map")</f>
        <v>OG_417_Map</v>
      </c>
      <c r="F424" s="1" t="s">
        <v>1797</v>
      </c>
      <c r="G424" s="1" t="s">
        <v>5133</v>
      </c>
      <c r="H424" s="1" t="s">
        <v>1363</v>
      </c>
      <c r="I424" s="24" t="s">
        <v>5152</v>
      </c>
      <c r="J424" s="17" t="s">
        <v>207</v>
      </c>
      <c r="K424" s="17" t="s">
        <v>5153</v>
      </c>
      <c r="L424" s="17"/>
      <c r="M424" s="17"/>
      <c r="N424" s="52" t="s">
        <v>207</v>
      </c>
      <c r="O424" s="17" t="s">
        <v>86</v>
      </c>
      <c r="P424" s="17" t="s">
        <v>86</v>
      </c>
      <c r="Q424" s="81" t="s">
        <v>5137</v>
      </c>
      <c r="R424" s="11">
        <v>30.964552999999999</v>
      </c>
      <c r="S424" s="11">
        <v>-87.177854999999994</v>
      </c>
      <c r="T424" s="11" t="s">
        <v>5138</v>
      </c>
      <c r="U424" s="11" t="s">
        <v>5139</v>
      </c>
      <c r="V424" s="17" t="s">
        <v>5140</v>
      </c>
      <c r="W424" s="17" t="s">
        <v>5154</v>
      </c>
      <c r="X424" s="70"/>
      <c r="Y424" s="70"/>
      <c r="Z424" s="13">
        <v>39496</v>
      </c>
      <c r="AA424" s="13"/>
      <c r="AB424" s="13"/>
      <c r="AC424" s="13"/>
      <c r="AD424" s="70"/>
      <c r="AE424" s="70"/>
      <c r="AF424" s="70" t="s">
        <v>207</v>
      </c>
      <c r="AG424" s="13" t="s">
        <v>207</v>
      </c>
      <c r="AH424" s="13" t="s">
        <v>207</v>
      </c>
      <c r="AI424" s="70" t="s">
        <v>207</v>
      </c>
      <c r="AJ424" s="13" t="s">
        <v>207</v>
      </c>
      <c r="AK424" s="13" t="s">
        <v>207</v>
      </c>
      <c r="AL424" s="13" t="s">
        <v>207</v>
      </c>
      <c r="AM424" s="13" t="s">
        <v>207</v>
      </c>
      <c r="AN424" s="13" t="s">
        <v>207</v>
      </c>
      <c r="AO424" s="13" t="s">
        <v>207</v>
      </c>
      <c r="AP424" s="13" t="s">
        <v>207</v>
      </c>
      <c r="AQ424" s="13" t="s">
        <v>207</v>
      </c>
      <c r="AR424" s="13" t="s">
        <v>207</v>
      </c>
      <c r="AS424" s="13" t="s">
        <v>207</v>
      </c>
      <c r="AT424" s="13" t="s">
        <v>207</v>
      </c>
      <c r="AU424" s="83" t="s">
        <v>207</v>
      </c>
      <c r="AV424" s="14" t="s">
        <v>207</v>
      </c>
      <c r="AW424" s="74"/>
      <c r="AX424" s="1"/>
      <c r="AY424" s="17" t="s">
        <v>101</v>
      </c>
    </row>
    <row r="425" spans="1:51" ht="12.75" customHeight="1" x14ac:dyDescent="0.25">
      <c r="A425" s="5">
        <v>418</v>
      </c>
      <c r="B425" s="9">
        <v>418</v>
      </c>
      <c r="C425" s="9" t="s">
        <v>5155</v>
      </c>
      <c r="D425" s="57" t="str">
        <f>HYPERLINK("http://prodenv.dep.state.fl.us/DepNexus/public/electronic-documents/OG_418/facility!search","OG_418_Docs")</f>
        <v>OG_418_Docs</v>
      </c>
      <c r="E425" s="57" t="str">
        <f>HYPERLINK("https://ca.dep.state.fl.us/mapdirect/?focus=oilandgas&amp;zoom=query&amp;querytype=oilandgas&amp;queryvalues=OG_418","OG_418_Map")</f>
        <v>OG_418_Map</v>
      </c>
      <c r="F425" s="1" t="s">
        <v>1752</v>
      </c>
      <c r="G425" s="1" t="s">
        <v>79</v>
      </c>
      <c r="H425" s="1" t="s">
        <v>4242</v>
      </c>
      <c r="I425" s="1" t="s">
        <v>5156</v>
      </c>
      <c r="J425" s="17" t="s">
        <v>82</v>
      </c>
      <c r="K425" s="17" t="s">
        <v>83</v>
      </c>
      <c r="L425" s="17"/>
      <c r="M425" s="17"/>
      <c r="N425" s="52" t="s">
        <v>3956</v>
      </c>
      <c r="O425" s="17" t="s">
        <v>270</v>
      </c>
      <c r="P425" s="17" t="s">
        <v>5157</v>
      </c>
      <c r="Q425" s="81" t="s">
        <v>5158</v>
      </c>
      <c r="R425" s="11">
        <v>26.325626</v>
      </c>
      <c r="S425" s="11">
        <v>-81.055346999999998</v>
      </c>
      <c r="T425" s="11" t="s">
        <v>5159</v>
      </c>
      <c r="U425" s="11" t="s">
        <v>5160</v>
      </c>
      <c r="V425" s="17" t="s">
        <v>5161</v>
      </c>
      <c r="W425" s="17" t="s">
        <v>110</v>
      </c>
      <c r="X425" s="70">
        <v>36</v>
      </c>
      <c r="Y425" s="70">
        <v>21</v>
      </c>
      <c r="Z425" s="13">
        <v>25637</v>
      </c>
      <c r="AA425" s="13">
        <v>25648</v>
      </c>
      <c r="AB425" s="13">
        <v>25802</v>
      </c>
      <c r="AC425" s="13">
        <v>25802</v>
      </c>
      <c r="AD425" s="86">
        <v>12503</v>
      </c>
      <c r="AE425" s="86">
        <v>12503</v>
      </c>
      <c r="AF425" s="70" t="s">
        <v>5162</v>
      </c>
      <c r="AG425" s="17" t="s">
        <v>5163</v>
      </c>
      <c r="AH425" s="17" t="s">
        <v>5164</v>
      </c>
      <c r="AI425" s="70" t="s">
        <v>5165</v>
      </c>
      <c r="AJ425" s="17" t="s">
        <v>94</v>
      </c>
      <c r="AK425" s="17" t="s">
        <v>95</v>
      </c>
      <c r="AL425" s="17" t="s">
        <v>5166</v>
      </c>
      <c r="AM425" s="17" t="s">
        <v>825</v>
      </c>
      <c r="AN425" s="17" t="s">
        <v>5167</v>
      </c>
      <c r="AO425" s="17" t="s">
        <v>98</v>
      </c>
      <c r="AP425" s="17" t="s">
        <v>98</v>
      </c>
      <c r="AQ425" s="17" t="s">
        <v>98</v>
      </c>
      <c r="AR425" s="17" t="s">
        <v>98</v>
      </c>
      <c r="AS425" s="17" t="s">
        <v>5168</v>
      </c>
      <c r="AT425" s="17"/>
      <c r="AU425" s="30" t="s">
        <v>5169</v>
      </c>
      <c r="AV425" s="14">
        <v>10747</v>
      </c>
      <c r="AW425" s="74"/>
      <c r="AX425" s="1"/>
      <c r="AY425" s="17" t="s">
        <v>101</v>
      </c>
    </row>
    <row r="426" spans="1:51" ht="12.75" customHeight="1" x14ac:dyDescent="0.25">
      <c r="A426" s="5">
        <v>419</v>
      </c>
      <c r="B426" s="9">
        <v>419</v>
      </c>
      <c r="C426" s="9" t="s">
        <v>5170</v>
      </c>
      <c r="D426" s="57" t="str">
        <f>HYPERLINK("http://prodenv.dep.state.fl.us/DepNexus/public/electronic-documents/OG_419/facility!search","OG_419_Docs")</f>
        <v>OG_419_Docs</v>
      </c>
      <c r="E426" s="57" t="str">
        <f>HYPERLINK("https://ca.dep.state.fl.us/mapdirect/?focus=oilandgas&amp;zoom=query&amp;querytype=oilandgas&amp;queryvalues=OG_419","OG_419_Map")</f>
        <v>OG_419_Map</v>
      </c>
      <c r="F426" s="1" t="s">
        <v>1752</v>
      </c>
      <c r="G426" s="1" t="s">
        <v>4496</v>
      </c>
      <c r="H426" s="1" t="s">
        <v>176</v>
      </c>
      <c r="I426" s="1" t="s">
        <v>5171</v>
      </c>
      <c r="J426" s="17" t="s">
        <v>268</v>
      </c>
      <c r="K426" s="17" t="s">
        <v>412</v>
      </c>
      <c r="L426" s="17"/>
      <c r="M426" s="17"/>
      <c r="N426" s="52" t="s">
        <v>4802</v>
      </c>
      <c r="O426" s="17" t="s">
        <v>86</v>
      </c>
      <c r="P426" s="17" t="s">
        <v>86</v>
      </c>
      <c r="Q426" s="81" t="s">
        <v>5172</v>
      </c>
      <c r="R426" s="11">
        <v>26.517406000000001</v>
      </c>
      <c r="S426" s="11">
        <v>-81.542812999999995</v>
      </c>
      <c r="T426" s="11" t="s">
        <v>5173</v>
      </c>
      <c r="U426" s="11" t="s">
        <v>5174</v>
      </c>
      <c r="V426" s="17" t="s">
        <v>5175</v>
      </c>
      <c r="W426" s="17" t="s">
        <v>110</v>
      </c>
      <c r="X426" s="70">
        <v>49.68</v>
      </c>
      <c r="Y426" s="70">
        <v>30.7</v>
      </c>
      <c r="Z426" s="13">
        <v>25644</v>
      </c>
      <c r="AA426" s="13">
        <v>25651</v>
      </c>
      <c r="AB426" s="13">
        <v>25707</v>
      </c>
      <c r="AC426" s="13">
        <v>32842</v>
      </c>
      <c r="AD426" s="86">
        <v>11650</v>
      </c>
      <c r="AE426" s="86">
        <v>11650</v>
      </c>
      <c r="AF426" s="70" t="s">
        <v>5112</v>
      </c>
      <c r="AG426" s="17" t="s">
        <v>5176</v>
      </c>
      <c r="AH426" s="17" t="s">
        <v>5177</v>
      </c>
      <c r="AI426" s="70" t="s">
        <v>5178</v>
      </c>
      <c r="AJ426" s="17" t="s">
        <v>5179</v>
      </c>
      <c r="AK426" s="17" t="s">
        <v>95</v>
      </c>
      <c r="AL426" s="17" t="s">
        <v>5180</v>
      </c>
      <c r="AM426" s="17" t="s">
        <v>825</v>
      </c>
      <c r="AN426" s="17" t="s">
        <v>94</v>
      </c>
      <c r="AO426" s="17" t="s">
        <v>5181</v>
      </c>
      <c r="AP426" s="17" t="s">
        <v>4176</v>
      </c>
      <c r="AQ426" s="17">
        <v>34</v>
      </c>
      <c r="AR426" s="17" t="s">
        <v>4101</v>
      </c>
      <c r="AS426" s="17" t="s">
        <v>5182</v>
      </c>
      <c r="AT426" s="17"/>
      <c r="AU426" s="30" t="s">
        <v>5183</v>
      </c>
      <c r="AV426" s="14">
        <v>10444</v>
      </c>
      <c r="AW426" s="74"/>
      <c r="AX426" s="1"/>
      <c r="AY426" s="17" t="s">
        <v>101</v>
      </c>
    </row>
    <row r="427" spans="1:51" ht="15" customHeight="1" x14ac:dyDescent="0.25">
      <c r="A427" s="5">
        <v>420</v>
      </c>
      <c r="B427" s="9">
        <v>420</v>
      </c>
      <c r="C427" s="9" t="s">
        <v>5184</v>
      </c>
      <c r="D427" s="57" t="str">
        <f>HYPERLINK("http://prodenv.dep.state.fl.us/DepNexus/public/electronic-documents/OG_420/facility!search","OG_420_Docs")</f>
        <v>OG_420_Docs</v>
      </c>
      <c r="E427" s="57" t="str">
        <f>HYPERLINK("https://ca.dep.state.fl.us/mapdirect/?focus=oilandgas&amp;zoom=query&amp;querytype=oilandgas&amp;queryvalues=OG_420","OG_420_Map")</f>
        <v>OG_420_Map</v>
      </c>
      <c r="F427" s="1" t="s">
        <v>1752</v>
      </c>
      <c r="G427" s="1" t="s">
        <v>4496</v>
      </c>
      <c r="H427" s="1" t="s">
        <v>3624</v>
      </c>
      <c r="I427" s="1" t="s">
        <v>5185</v>
      </c>
      <c r="J427" s="17" t="s">
        <v>268</v>
      </c>
      <c r="K427" s="17" t="s">
        <v>412</v>
      </c>
      <c r="L427" s="17"/>
      <c r="M427" s="17"/>
      <c r="N427" s="52" t="s">
        <v>3956</v>
      </c>
      <c r="O427" s="17" t="s">
        <v>86</v>
      </c>
      <c r="P427" s="17" t="s">
        <v>86</v>
      </c>
      <c r="Q427" s="81" t="s">
        <v>5186</v>
      </c>
      <c r="R427" s="11">
        <v>26.530909999999999</v>
      </c>
      <c r="S427" s="11">
        <v>-81.550816999999995</v>
      </c>
      <c r="T427" s="11" t="s">
        <v>5187</v>
      </c>
      <c r="U427" s="11" t="s">
        <v>5188</v>
      </c>
      <c r="V427" s="17" t="s">
        <v>5189</v>
      </c>
      <c r="W427" s="17" t="s">
        <v>110</v>
      </c>
      <c r="X427" s="70">
        <v>48</v>
      </c>
      <c r="Y427" s="70">
        <v>31</v>
      </c>
      <c r="Z427" s="13">
        <v>25791</v>
      </c>
      <c r="AA427" s="13">
        <v>25753</v>
      </c>
      <c r="AB427" s="13">
        <v>25884</v>
      </c>
      <c r="AC427" s="13">
        <v>36952</v>
      </c>
      <c r="AD427" s="86">
        <v>12615</v>
      </c>
      <c r="AE427" s="86">
        <v>12615</v>
      </c>
      <c r="AF427" s="70" t="s">
        <v>5190</v>
      </c>
      <c r="AG427" s="17" t="s">
        <v>5191</v>
      </c>
      <c r="AH427" s="17" t="s">
        <v>5192</v>
      </c>
      <c r="AI427" s="70" t="s">
        <v>5193</v>
      </c>
      <c r="AJ427" s="17" t="s">
        <v>5194</v>
      </c>
      <c r="AK427" s="17" t="s">
        <v>94</v>
      </c>
      <c r="AL427" s="17" t="s">
        <v>5195</v>
      </c>
      <c r="AM427" s="17" t="s">
        <v>94</v>
      </c>
      <c r="AN427" s="17" t="s">
        <v>86</v>
      </c>
      <c r="AO427" s="17" t="s">
        <v>5196</v>
      </c>
      <c r="AP427" s="17" t="s">
        <v>5061</v>
      </c>
      <c r="AQ427" s="17" t="s">
        <v>5042</v>
      </c>
      <c r="AR427" s="17" t="s">
        <v>5197</v>
      </c>
      <c r="AS427" s="17" t="s">
        <v>5198</v>
      </c>
      <c r="AT427" s="17">
        <v>178</v>
      </c>
      <c r="AU427" s="30" t="s">
        <v>5199</v>
      </c>
      <c r="AV427" s="14">
        <v>10708</v>
      </c>
      <c r="AW427" s="74"/>
      <c r="AX427" s="1"/>
      <c r="AY427" s="17" t="s">
        <v>101</v>
      </c>
    </row>
    <row r="428" spans="1:51" ht="15" customHeight="1" x14ac:dyDescent="0.25">
      <c r="A428" s="5">
        <v>421</v>
      </c>
      <c r="B428" s="9">
        <v>421</v>
      </c>
      <c r="C428" s="9" t="s">
        <v>5200</v>
      </c>
      <c r="D428" s="57" t="str">
        <f>HYPERLINK("http://prodenv.dep.state.fl.us/DepNexus/public/electronic-documents/OG_421/facility!search","OG_421_Docs")</f>
        <v>OG_421_Docs</v>
      </c>
      <c r="E428" s="57" t="str">
        <f>HYPERLINK("https://ca.dep.state.fl.us/mapdirect/?focus=oilandgas&amp;zoom=query&amp;querytype=oilandgas&amp;queryvalues=OG_421","OG_421_Map")</f>
        <v>OG_421_Map</v>
      </c>
      <c r="F428" s="1" t="s">
        <v>1752</v>
      </c>
      <c r="G428" s="1" t="s">
        <v>4496</v>
      </c>
      <c r="H428" s="1" t="s">
        <v>5029</v>
      </c>
      <c r="I428" s="1" t="s">
        <v>5201</v>
      </c>
      <c r="J428" s="17" t="s">
        <v>268</v>
      </c>
      <c r="K428" s="17" t="s">
        <v>412</v>
      </c>
      <c r="L428" s="17"/>
      <c r="M428" s="17"/>
      <c r="N428" s="52" t="s">
        <v>3956</v>
      </c>
      <c r="O428" s="17" t="s">
        <v>86</v>
      </c>
      <c r="P428" s="17" t="s">
        <v>86</v>
      </c>
      <c r="Q428" s="81" t="s">
        <v>5202</v>
      </c>
      <c r="R428" s="11">
        <v>26.531690000000001</v>
      </c>
      <c r="S428" s="11">
        <v>-81.543347999999995</v>
      </c>
      <c r="T428" s="11" t="s">
        <v>5203</v>
      </c>
      <c r="U428" s="11" t="s">
        <v>5204</v>
      </c>
      <c r="V428" s="17" t="s">
        <v>5205</v>
      </c>
      <c r="W428" s="17" t="s">
        <v>110</v>
      </c>
      <c r="X428" s="70">
        <v>49</v>
      </c>
      <c r="Y428" s="70">
        <v>32</v>
      </c>
      <c r="Z428" s="13">
        <v>25679</v>
      </c>
      <c r="AA428" s="13">
        <v>25712</v>
      </c>
      <c r="AB428" s="13">
        <v>25759</v>
      </c>
      <c r="AC428" s="13">
        <v>35679</v>
      </c>
      <c r="AD428" s="86">
        <v>11555</v>
      </c>
      <c r="AE428" s="86">
        <v>11555</v>
      </c>
      <c r="AF428" s="70" t="s">
        <v>5206</v>
      </c>
      <c r="AG428" s="17" t="s">
        <v>5207</v>
      </c>
      <c r="AH428" s="17" t="s">
        <v>5208</v>
      </c>
      <c r="AI428" s="70" t="s">
        <v>5209</v>
      </c>
      <c r="AJ428" s="17" t="s">
        <v>5210</v>
      </c>
      <c r="AK428" s="17" t="s">
        <v>94</v>
      </c>
      <c r="AL428" s="17" t="s">
        <v>5211</v>
      </c>
      <c r="AM428" s="17" t="s">
        <v>825</v>
      </c>
      <c r="AN428" s="17" t="s">
        <v>86</v>
      </c>
      <c r="AO428" s="17" t="s">
        <v>5212</v>
      </c>
      <c r="AP428" s="17" t="s">
        <v>5213</v>
      </c>
      <c r="AQ428" s="17" t="s">
        <v>3914</v>
      </c>
      <c r="AR428" s="17" t="s">
        <v>5214</v>
      </c>
      <c r="AS428" s="17" t="s">
        <v>5215</v>
      </c>
      <c r="AT428" s="17"/>
      <c r="AU428" s="30" t="s">
        <v>5216</v>
      </c>
      <c r="AV428" s="14">
        <v>10598</v>
      </c>
      <c r="AW428" s="74"/>
      <c r="AX428" s="1"/>
      <c r="AY428" s="17" t="s">
        <v>101</v>
      </c>
    </row>
    <row r="429" spans="1:51" ht="15" customHeight="1" x14ac:dyDescent="0.25">
      <c r="A429" s="5">
        <v>422</v>
      </c>
      <c r="B429" s="9">
        <v>422</v>
      </c>
      <c r="C429" s="9" t="s">
        <v>5217</v>
      </c>
      <c r="D429" s="57" t="str">
        <f>HYPERLINK("http://prodenv.dep.state.fl.us/DepNexus/public/electronic-documents/OG_422/facility!search","OG_422_Docs")</f>
        <v>OG_422_Docs</v>
      </c>
      <c r="E429" s="57" t="str">
        <f>HYPERLINK("https://ca.dep.state.fl.us/mapdirect/?focus=oilandgas&amp;zoom=query&amp;querytype=oilandgas&amp;queryvalues=OG_422","OG_422_Map")</f>
        <v>OG_422_Map</v>
      </c>
      <c r="F429" s="1" t="s">
        <v>2026</v>
      </c>
      <c r="G429" s="1" t="s">
        <v>4496</v>
      </c>
      <c r="H429" s="1" t="s">
        <v>176</v>
      </c>
      <c r="I429" s="1" t="s">
        <v>5218</v>
      </c>
      <c r="J429" s="17" t="s">
        <v>82</v>
      </c>
      <c r="K429" s="17" t="s">
        <v>83</v>
      </c>
      <c r="L429" s="17"/>
      <c r="M429" s="17"/>
      <c r="N429" s="52" t="s">
        <v>3193</v>
      </c>
      <c r="O429" s="17" t="s">
        <v>86</v>
      </c>
      <c r="P429" s="17" t="s">
        <v>86</v>
      </c>
      <c r="Q429" s="81" t="s">
        <v>5219</v>
      </c>
      <c r="R429" s="11">
        <v>26.539922000000001</v>
      </c>
      <c r="S429" s="11">
        <v>-81.581579000000005</v>
      </c>
      <c r="T429" s="11" t="s">
        <v>5220</v>
      </c>
      <c r="U429" s="11" t="s">
        <v>5221</v>
      </c>
      <c r="V429" s="17" t="s">
        <v>5222</v>
      </c>
      <c r="W429" s="17" t="s">
        <v>5223</v>
      </c>
      <c r="X429" s="70">
        <v>46.9</v>
      </c>
      <c r="Y429" s="70">
        <v>29.5</v>
      </c>
      <c r="Z429" s="13">
        <v>25679</v>
      </c>
      <c r="AA429" s="13">
        <v>25694</v>
      </c>
      <c r="AB429" s="13"/>
      <c r="AC429" s="13">
        <v>25743</v>
      </c>
      <c r="AD429" s="86">
        <v>11645</v>
      </c>
      <c r="AE429" s="70">
        <v>11785</v>
      </c>
      <c r="AF429" s="70" t="s">
        <v>5224</v>
      </c>
      <c r="AG429" s="23" t="s">
        <v>5225</v>
      </c>
      <c r="AH429" s="17" t="s">
        <v>5226</v>
      </c>
      <c r="AI429" s="70" t="s">
        <v>94</v>
      </c>
      <c r="AJ429" s="17" t="s">
        <v>94</v>
      </c>
      <c r="AK429" s="17" t="s">
        <v>95</v>
      </c>
      <c r="AL429" s="17" t="s">
        <v>5227</v>
      </c>
      <c r="AM429" s="17" t="s">
        <v>825</v>
      </c>
      <c r="AN429" s="17" t="s">
        <v>94</v>
      </c>
      <c r="AO429" s="17" t="s">
        <v>98</v>
      </c>
      <c r="AP429" s="17" t="s">
        <v>98</v>
      </c>
      <c r="AQ429" s="17" t="s">
        <v>98</v>
      </c>
      <c r="AR429" s="17" t="s">
        <v>94</v>
      </c>
      <c r="AS429" s="17" t="s">
        <v>5228</v>
      </c>
      <c r="AT429" s="17"/>
      <c r="AU429" s="30" t="s">
        <v>5229</v>
      </c>
      <c r="AV429" s="14">
        <v>10478</v>
      </c>
      <c r="AW429" s="74"/>
      <c r="AX429" s="1" t="s">
        <v>5230</v>
      </c>
      <c r="AY429" s="17" t="s">
        <v>101</v>
      </c>
    </row>
    <row r="430" spans="1:51" ht="12.75" customHeight="1" x14ac:dyDescent="0.25">
      <c r="A430" s="5">
        <v>423</v>
      </c>
      <c r="B430" s="9">
        <v>423</v>
      </c>
      <c r="C430" s="9" t="s">
        <v>5231</v>
      </c>
      <c r="D430" s="57" t="str">
        <f>HYPERLINK("http://prodenv.dep.state.fl.us/DepNexus/public/electronic-documents/OG_423/facility!search","OG_423_Docs")</f>
        <v>OG_423_Docs</v>
      </c>
      <c r="E430" s="57" t="str">
        <f>HYPERLINK("https://ca.dep.state.fl.us/mapdirect/?focus=oilandgas&amp;zoom=query&amp;querytype=oilandgas&amp;queryvalues=OG_423","OG_423_Map")</f>
        <v>OG_423_Map</v>
      </c>
      <c r="F430" s="1" t="s">
        <v>1752</v>
      </c>
      <c r="G430" s="1" t="s">
        <v>4496</v>
      </c>
      <c r="H430" s="1" t="s">
        <v>3624</v>
      </c>
      <c r="I430" s="1" t="s">
        <v>5232</v>
      </c>
      <c r="J430" s="17" t="s">
        <v>268</v>
      </c>
      <c r="K430" s="17" t="s">
        <v>412</v>
      </c>
      <c r="L430" s="17"/>
      <c r="M430" s="17"/>
      <c r="N430" s="52" t="s">
        <v>3956</v>
      </c>
      <c r="O430" s="17" t="s">
        <v>86</v>
      </c>
      <c r="P430" s="17" t="s">
        <v>86</v>
      </c>
      <c r="Q430" s="81" t="s">
        <v>5233</v>
      </c>
      <c r="R430" s="11">
        <v>26.531455999999999</v>
      </c>
      <c r="S430" s="11">
        <v>-81.560090000000002</v>
      </c>
      <c r="T430" s="11" t="s">
        <v>5234</v>
      </c>
      <c r="U430" s="11" t="s">
        <v>5235</v>
      </c>
      <c r="V430" s="17" t="s">
        <v>5236</v>
      </c>
      <c r="W430" s="17" t="s">
        <v>110</v>
      </c>
      <c r="X430" s="70">
        <v>46</v>
      </c>
      <c r="Y430" s="70">
        <v>31</v>
      </c>
      <c r="Z430" s="13">
        <v>25693</v>
      </c>
      <c r="AA430" s="13">
        <v>25774</v>
      </c>
      <c r="AB430" s="13">
        <v>25822</v>
      </c>
      <c r="AC430" s="13">
        <v>36937</v>
      </c>
      <c r="AD430" s="86">
        <v>11730</v>
      </c>
      <c r="AE430" s="86">
        <v>11730</v>
      </c>
      <c r="AF430" s="70" t="s">
        <v>5206</v>
      </c>
      <c r="AG430" s="17" t="s">
        <v>5237</v>
      </c>
      <c r="AH430" s="17" t="s">
        <v>5238</v>
      </c>
      <c r="AI430" s="70" t="s">
        <v>5239</v>
      </c>
      <c r="AJ430" s="17" t="s">
        <v>5240</v>
      </c>
      <c r="AK430" s="17" t="s">
        <v>95</v>
      </c>
      <c r="AL430" s="17" t="s">
        <v>5241</v>
      </c>
      <c r="AM430" s="17" t="s">
        <v>825</v>
      </c>
      <c r="AN430" s="17" t="s">
        <v>86</v>
      </c>
      <c r="AO430" s="17" t="s">
        <v>5242</v>
      </c>
      <c r="AP430" s="17" t="s">
        <v>5061</v>
      </c>
      <c r="AQ430" s="17" t="s">
        <v>5243</v>
      </c>
      <c r="AR430" s="17" t="s">
        <v>5244</v>
      </c>
      <c r="AS430" s="17" t="s">
        <v>5245</v>
      </c>
      <c r="AT430" s="17"/>
      <c r="AU430" s="30" t="s">
        <v>5246</v>
      </c>
      <c r="AV430" s="14">
        <v>10599</v>
      </c>
      <c r="AW430" s="74"/>
      <c r="AX430" s="1"/>
      <c r="AY430" s="17" t="s">
        <v>101</v>
      </c>
    </row>
    <row r="431" spans="1:51" ht="15" customHeight="1" x14ac:dyDescent="0.25">
      <c r="A431" s="5">
        <v>424</v>
      </c>
      <c r="B431" s="9">
        <v>424</v>
      </c>
      <c r="C431" s="9" t="s">
        <v>5247</v>
      </c>
      <c r="D431" s="57" t="str">
        <f>HYPERLINK("http://prodenv.dep.state.fl.us/DepNexus/public/electronic-documents/OG_424/facility!search","OG_424_Docs")</f>
        <v>OG_424_Docs</v>
      </c>
      <c r="E431" s="57" t="str">
        <f>HYPERLINK("https://ca.dep.state.fl.us/mapdirect/?focus=oilandgas&amp;zoom=query&amp;querytype=oilandgas&amp;queryvalues=OG_424","OG_424_Map")</f>
        <v>OG_424_Map</v>
      </c>
      <c r="F431" s="1" t="s">
        <v>1752</v>
      </c>
      <c r="G431" s="1" t="s">
        <v>79</v>
      </c>
      <c r="H431" s="1" t="s">
        <v>5248</v>
      </c>
      <c r="I431" s="1" t="s">
        <v>5249</v>
      </c>
      <c r="J431" s="17" t="s">
        <v>82</v>
      </c>
      <c r="K431" s="17" t="s">
        <v>83</v>
      </c>
      <c r="L431" s="17"/>
      <c r="M431" s="17" t="s">
        <v>84</v>
      </c>
      <c r="N431" s="52" t="s">
        <v>5250</v>
      </c>
      <c r="O431" s="17" t="s">
        <v>86</v>
      </c>
      <c r="P431" s="17" t="s">
        <v>86</v>
      </c>
      <c r="Q431" s="81" t="s">
        <v>5251</v>
      </c>
      <c r="R431" s="11">
        <v>26.479023999999999</v>
      </c>
      <c r="S431" s="11">
        <v>-81.056600000000003</v>
      </c>
      <c r="T431" s="11" t="s">
        <v>5252</v>
      </c>
      <c r="U431" s="11" t="s">
        <v>5253</v>
      </c>
      <c r="V431" s="17" t="s">
        <v>5254</v>
      </c>
      <c r="W431" s="17" t="s">
        <v>110</v>
      </c>
      <c r="X431" s="70">
        <v>33</v>
      </c>
      <c r="Y431" s="70">
        <v>21</v>
      </c>
      <c r="Z431" s="13">
        <v>25700</v>
      </c>
      <c r="AA431" s="13">
        <v>25711</v>
      </c>
      <c r="AB431" s="13"/>
      <c r="AC431" s="13">
        <v>25757</v>
      </c>
      <c r="AD431" s="86">
        <v>12491</v>
      </c>
      <c r="AE431" s="86">
        <v>12491</v>
      </c>
      <c r="AF431" s="70" t="s">
        <v>5255</v>
      </c>
      <c r="AG431" s="23" t="s">
        <v>5256</v>
      </c>
      <c r="AH431" s="17" t="s">
        <v>5257</v>
      </c>
      <c r="AI431" s="70" t="s">
        <v>94</v>
      </c>
      <c r="AJ431" s="17" t="s">
        <v>94</v>
      </c>
      <c r="AK431" s="17" t="s">
        <v>95</v>
      </c>
      <c r="AL431" s="17" t="s">
        <v>5258</v>
      </c>
      <c r="AM431" s="17" t="s">
        <v>825</v>
      </c>
      <c r="AN431" s="17" t="s">
        <v>5258</v>
      </c>
      <c r="AO431" s="17" t="s">
        <v>98</v>
      </c>
      <c r="AP431" s="17" t="s">
        <v>98</v>
      </c>
      <c r="AQ431" s="17" t="s">
        <v>98</v>
      </c>
      <c r="AR431" s="17" t="s">
        <v>94</v>
      </c>
      <c r="AS431" s="17" t="s">
        <v>5259</v>
      </c>
      <c r="AT431" s="17">
        <v>178</v>
      </c>
      <c r="AU431" s="30" t="s">
        <v>5260</v>
      </c>
      <c r="AV431" s="14">
        <v>10625</v>
      </c>
      <c r="AW431" s="74"/>
      <c r="AX431" s="1"/>
      <c r="AY431" s="17" t="s">
        <v>101</v>
      </c>
    </row>
    <row r="432" spans="1:51" ht="12.75" customHeight="1" x14ac:dyDescent="0.25">
      <c r="A432" s="5">
        <v>425</v>
      </c>
      <c r="B432" s="9">
        <v>425</v>
      </c>
      <c r="C432" s="9" t="s">
        <v>5261</v>
      </c>
      <c r="D432" s="57" t="str">
        <f>HYPERLINK("http://prodenv.dep.state.fl.us/DepNexus/public/electronic-documents/OG_425/facility!search","OG_425_Docs")</f>
        <v>OG_425_Docs</v>
      </c>
      <c r="E432" s="57" t="str">
        <f>HYPERLINK("https://ca.dep.state.fl.us/mapdirect/?focus=oilandgas&amp;zoom=query&amp;querytype=oilandgas&amp;queryvalues=OG_425","OG_425_Map")</f>
        <v>OG_425_Map</v>
      </c>
      <c r="F432" s="1" t="s">
        <v>2026</v>
      </c>
      <c r="G432" s="1" t="s">
        <v>4496</v>
      </c>
      <c r="H432" s="1" t="s">
        <v>176</v>
      </c>
      <c r="I432" s="1" t="s">
        <v>5262</v>
      </c>
      <c r="J432" s="17" t="s">
        <v>82</v>
      </c>
      <c r="K432" s="17" t="s">
        <v>83</v>
      </c>
      <c r="L432" s="17"/>
      <c r="M432" s="17" t="s">
        <v>101</v>
      </c>
      <c r="N432" s="52" t="s">
        <v>3956</v>
      </c>
      <c r="O432" s="17" t="s">
        <v>86</v>
      </c>
      <c r="P432" s="17" t="s">
        <v>86</v>
      </c>
      <c r="Q432" s="81" t="s">
        <v>5263</v>
      </c>
      <c r="R432" s="11">
        <v>26.581536</v>
      </c>
      <c r="S432" s="11">
        <v>-81.640724000000006</v>
      </c>
      <c r="T432" s="11" t="s">
        <v>5264</v>
      </c>
      <c r="U432" s="11" t="s">
        <v>5265</v>
      </c>
      <c r="V432" s="17" t="s">
        <v>5266</v>
      </c>
      <c r="W432" s="17" t="s">
        <v>110</v>
      </c>
      <c r="X432" s="70">
        <v>52</v>
      </c>
      <c r="Y432" s="70">
        <v>30</v>
      </c>
      <c r="Z432" s="13">
        <v>25728</v>
      </c>
      <c r="AA432" s="13">
        <v>25757</v>
      </c>
      <c r="AB432" s="13"/>
      <c r="AC432" s="13">
        <v>25795</v>
      </c>
      <c r="AD432" s="86">
        <v>11743</v>
      </c>
      <c r="AE432" s="86">
        <v>11743</v>
      </c>
      <c r="AF432" s="70" t="s">
        <v>5267</v>
      </c>
      <c r="AG432" s="23" t="s">
        <v>5268</v>
      </c>
      <c r="AH432" s="17" t="s">
        <v>5269</v>
      </c>
      <c r="AI432" s="70" t="s">
        <v>94</v>
      </c>
      <c r="AJ432" s="17" t="s">
        <v>94</v>
      </c>
      <c r="AK432" s="17" t="s">
        <v>95</v>
      </c>
      <c r="AL432" s="17" t="s">
        <v>5270</v>
      </c>
      <c r="AM432" s="17" t="s">
        <v>825</v>
      </c>
      <c r="AN432" s="17" t="s">
        <v>86</v>
      </c>
      <c r="AO432" s="17" t="s">
        <v>98</v>
      </c>
      <c r="AP432" s="17" t="s">
        <v>98</v>
      </c>
      <c r="AQ432" s="17" t="s">
        <v>98</v>
      </c>
      <c r="AR432" s="17" t="s">
        <v>94</v>
      </c>
      <c r="AS432" s="17" t="s">
        <v>5271</v>
      </c>
      <c r="AT432" s="17"/>
      <c r="AU432" s="30" t="s">
        <v>5272</v>
      </c>
      <c r="AV432" s="14">
        <v>10600</v>
      </c>
      <c r="AW432" s="74"/>
      <c r="AX432" s="1"/>
      <c r="AY432" s="17" t="s">
        <v>101</v>
      </c>
    </row>
    <row r="433" spans="1:51" ht="12.75" customHeight="1" x14ac:dyDescent="0.25">
      <c r="A433" s="5">
        <v>426</v>
      </c>
      <c r="B433" s="9">
        <v>426</v>
      </c>
      <c r="C433" s="9" t="s">
        <v>5273</v>
      </c>
      <c r="D433" s="57" t="str">
        <f>HYPERLINK("http://prodenv.dep.state.fl.us/DepNexus/public/electronic-documents/OG_426/facility!search","OG_426_Docs")</f>
        <v>OG_426_Docs</v>
      </c>
      <c r="E433" s="57" t="str">
        <f>HYPERLINK("https://ca.dep.state.fl.us/mapdirect/?focus=oilandgas&amp;zoom=query&amp;querytype=oilandgas&amp;queryvalues=OG_426","OG_426_Map")</f>
        <v>OG_426_Map</v>
      </c>
      <c r="F433" s="1" t="s">
        <v>1752</v>
      </c>
      <c r="G433" s="1" t="s">
        <v>4496</v>
      </c>
      <c r="H433" s="1" t="s">
        <v>5029</v>
      </c>
      <c r="I433" s="1" t="s">
        <v>5274</v>
      </c>
      <c r="J433" s="17" t="s">
        <v>268</v>
      </c>
      <c r="K433" s="17" t="s">
        <v>412</v>
      </c>
      <c r="L433" s="17"/>
      <c r="M433" s="17"/>
      <c r="N433" s="52" t="s">
        <v>3956</v>
      </c>
      <c r="O433" s="17" t="s">
        <v>86</v>
      </c>
      <c r="P433" s="17" t="s">
        <v>86</v>
      </c>
      <c r="Q433" s="81" t="s">
        <v>5275</v>
      </c>
      <c r="R433" s="11">
        <v>26.524878000000001</v>
      </c>
      <c r="S433" s="11">
        <v>-81.559573999999998</v>
      </c>
      <c r="T433" s="11" t="s">
        <v>5276</v>
      </c>
      <c r="U433" s="11" t="s">
        <v>5277</v>
      </c>
      <c r="V433" s="17" t="s">
        <v>5278</v>
      </c>
      <c r="W433" s="17" t="s">
        <v>110</v>
      </c>
      <c r="X433" s="70">
        <v>47</v>
      </c>
      <c r="Y433" s="70">
        <v>31</v>
      </c>
      <c r="Z433" s="13">
        <v>25728</v>
      </c>
      <c r="AA433" s="13">
        <v>25817</v>
      </c>
      <c r="AB433" s="13">
        <v>25865</v>
      </c>
      <c r="AC433" s="13">
        <v>37053</v>
      </c>
      <c r="AD433" s="86">
        <v>11575</v>
      </c>
      <c r="AE433" s="86">
        <v>11575</v>
      </c>
      <c r="AF433" s="70" t="s">
        <v>5279</v>
      </c>
      <c r="AG433" s="17" t="s">
        <v>5280</v>
      </c>
      <c r="AH433" s="17" t="s">
        <v>5281</v>
      </c>
      <c r="AI433" s="70" t="s">
        <v>5282</v>
      </c>
      <c r="AJ433" s="17" t="s">
        <v>5283</v>
      </c>
      <c r="AK433" s="17" t="s">
        <v>94</v>
      </c>
      <c r="AL433" s="17" t="s">
        <v>5284</v>
      </c>
      <c r="AM433" s="17" t="s">
        <v>825</v>
      </c>
      <c r="AN433" s="17" t="s">
        <v>86</v>
      </c>
      <c r="AO433" s="17" t="s">
        <v>5285</v>
      </c>
      <c r="AP433" s="17" t="s">
        <v>5286</v>
      </c>
      <c r="AQ433" s="17">
        <v>0</v>
      </c>
      <c r="AR433" s="17" t="s">
        <v>5287</v>
      </c>
      <c r="AS433" s="23" t="s">
        <v>5288</v>
      </c>
      <c r="AT433" s="17"/>
      <c r="AU433" s="30" t="s">
        <v>5289</v>
      </c>
      <c r="AV433" s="14">
        <v>10661</v>
      </c>
      <c r="AW433" s="74"/>
      <c r="AX433" s="1"/>
      <c r="AY433" s="17" t="s">
        <v>101</v>
      </c>
    </row>
    <row r="434" spans="1:51" ht="15" customHeight="1" x14ac:dyDescent="0.25">
      <c r="A434" s="5">
        <v>427</v>
      </c>
      <c r="B434" s="9">
        <v>427</v>
      </c>
      <c r="C434" s="9" t="s">
        <v>5290</v>
      </c>
      <c r="D434" s="57" t="str">
        <f>HYPERLINK("http://prodenv.dep.state.fl.us/DepNexus/public/electronic-documents/OG_427/facility!search","OG_427_Docs")</f>
        <v>OG_427_Docs</v>
      </c>
      <c r="E434" s="57" t="str">
        <f>HYPERLINK("https://ca.dep.state.fl.us/mapdirect/?focus=oilandgas&amp;zoom=query&amp;querytype=oilandgas&amp;queryvalues=OG_427","OG_427_Map")</f>
        <v>OG_427_Map</v>
      </c>
      <c r="F434" s="1" t="s">
        <v>1752</v>
      </c>
      <c r="G434" s="1" t="s">
        <v>4496</v>
      </c>
      <c r="H434" s="1" t="s">
        <v>3669</v>
      </c>
      <c r="I434" s="1" t="s">
        <v>5291</v>
      </c>
      <c r="J434" s="17" t="s">
        <v>4294</v>
      </c>
      <c r="K434" s="17" t="s">
        <v>5292</v>
      </c>
      <c r="L434" s="17"/>
      <c r="M434" s="17"/>
      <c r="N434" s="52" t="s">
        <v>86</v>
      </c>
      <c r="O434" s="17" t="s">
        <v>86</v>
      </c>
      <c r="P434" s="17" t="s">
        <v>86</v>
      </c>
      <c r="Q434" s="81" t="s">
        <v>5293</v>
      </c>
      <c r="R434" s="11">
        <v>26.517316999999998</v>
      </c>
      <c r="S434" s="11">
        <v>-81.551118000000002</v>
      </c>
      <c r="T434" s="11" t="s">
        <v>5294</v>
      </c>
      <c r="U434" s="11" t="s">
        <v>5295</v>
      </c>
      <c r="V434" s="17" t="s">
        <v>5296</v>
      </c>
      <c r="W434" s="17" t="s">
        <v>110</v>
      </c>
      <c r="X434" s="70">
        <v>47</v>
      </c>
      <c r="Y434" s="70">
        <v>31</v>
      </c>
      <c r="Z434" s="13">
        <v>25728</v>
      </c>
      <c r="AA434" s="13">
        <v>25756</v>
      </c>
      <c r="AB434" s="13">
        <v>26121</v>
      </c>
      <c r="AC434" s="13">
        <v>30669</v>
      </c>
      <c r="AD434" s="86">
        <v>2911</v>
      </c>
      <c r="AE434" s="86">
        <v>2911</v>
      </c>
      <c r="AF434" s="70" t="s">
        <v>5297</v>
      </c>
      <c r="AG434" s="17" t="s">
        <v>5298</v>
      </c>
      <c r="AH434" s="17" t="s">
        <v>94</v>
      </c>
      <c r="AI434" s="70" t="s">
        <v>94</v>
      </c>
      <c r="AJ434" s="17" t="s">
        <v>5299</v>
      </c>
      <c r="AK434" s="17" t="s">
        <v>95</v>
      </c>
      <c r="AL434" s="17" t="s">
        <v>825</v>
      </c>
      <c r="AM434" s="17" t="s">
        <v>94</v>
      </c>
      <c r="AN434" s="17" t="s">
        <v>94</v>
      </c>
      <c r="AO434" s="17" t="s">
        <v>94</v>
      </c>
      <c r="AP434" s="17" t="s">
        <v>94</v>
      </c>
      <c r="AQ434" s="17" t="s">
        <v>94</v>
      </c>
      <c r="AR434" s="17" t="s">
        <v>94</v>
      </c>
      <c r="AS434" s="35">
        <v>167008</v>
      </c>
      <c r="AT434" s="17"/>
      <c r="AU434" s="30" t="s">
        <v>5300</v>
      </c>
      <c r="AV434" s="14">
        <v>10659</v>
      </c>
      <c r="AW434" s="74"/>
      <c r="AX434" s="1"/>
      <c r="AY434" s="17" t="s">
        <v>101</v>
      </c>
    </row>
    <row r="435" spans="1:51" ht="12.75" customHeight="1" x14ac:dyDescent="0.25">
      <c r="A435" s="5">
        <v>427.1</v>
      </c>
      <c r="B435" s="9" t="s">
        <v>5301</v>
      </c>
      <c r="C435" s="9" t="s">
        <v>5290</v>
      </c>
      <c r="D435" s="57" t="str">
        <f>HYPERLINK("http://prodenv.dep.state.fl.us/DepNexus/public/electronic-documents/OG_427/facility!search","OG_427_Docs")</f>
        <v>OG_427_Docs</v>
      </c>
      <c r="E435" s="57" t="str">
        <f>HYPERLINK("https://ca.dep.state.fl.us/mapdirect/?focus=oilandgas&amp;zoom=query&amp;querytype=oilandgas&amp;queryvalues=OG_427","OG_427_Map")</f>
        <v>OG_427_Map</v>
      </c>
      <c r="F435" s="1" t="s">
        <v>1752</v>
      </c>
      <c r="G435" s="1" t="s">
        <v>4496</v>
      </c>
      <c r="H435" s="1" t="s">
        <v>3669</v>
      </c>
      <c r="I435" s="1" t="s">
        <v>5302</v>
      </c>
      <c r="J435" s="17" t="s">
        <v>268</v>
      </c>
      <c r="K435" s="17" t="s">
        <v>412</v>
      </c>
      <c r="L435" s="17"/>
      <c r="M435" s="17"/>
      <c r="N435" s="52" t="s">
        <v>3956</v>
      </c>
      <c r="O435" s="17" t="s">
        <v>86</v>
      </c>
      <c r="P435" s="17" t="s">
        <v>86</v>
      </c>
      <c r="Q435" s="81" t="s">
        <v>5293</v>
      </c>
      <c r="R435" s="11">
        <v>26.517312</v>
      </c>
      <c r="S435" s="11">
        <v>-81.552338000000006</v>
      </c>
      <c r="T435" s="11" t="s">
        <v>5303</v>
      </c>
      <c r="U435" s="11" t="s">
        <v>5304</v>
      </c>
      <c r="V435" s="17" t="s">
        <v>5305</v>
      </c>
      <c r="W435" s="17"/>
      <c r="X435" s="70">
        <v>49</v>
      </c>
      <c r="Y435" s="70">
        <v>31</v>
      </c>
      <c r="Z435" s="13">
        <v>25728</v>
      </c>
      <c r="AA435" s="13">
        <v>25792</v>
      </c>
      <c r="AB435" s="13">
        <v>25945</v>
      </c>
      <c r="AC435" s="13">
        <v>32491</v>
      </c>
      <c r="AD435" s="86">
        <v>11735</v>
      </c>
      <c r="AE435" s="86">
        <v>11735</v>
      </c>
      <c r="AF435" s="70" t="s">
        <v>5035</v>
      </c>
      <c r="AG435" s="23" t="s">
        <v>5306</v>
      </c>
      <c r="AH435" s="23" t="s">
        <v>5307</v>
      </c>
      <c r="AI435" s="71" t="s">
        <v>5308</v>
      </c>
      <c r="AJ435" s="23" t="s">
        <v>5309</v>
      </c>
      <c r="AK435" s="17" t="s">
        <v>95</v>
      </c>
      <c r="AL435" s="17" t="s">
        <v>5310</v>
      </c>
      <c r="AM435" s="17"/>
      <c r="AN435" s="17" t="s">
        <v>86</v>
      </c>
      <c r="AO435" s="23" t="s">
        <v>4098</v>
      </c>
      <c r="AP435" s="23" t="s">
        <v>5311</v>
      </c>
      <c r="AQ435" s="23" t="s">
        <v>5312</v>
      </c>
      <c r="AR435" s="23" t="s">
        <v>5313</v>
      </c>
      <c r="AS435" s="17" t="s">
        <v>5314</v>
      </c>
      <c r="AT435" s="17"/>
      <c r="AU435" s="30" t="s">
        <v>5315</v>
      </c>
      <c r="AV435" s="14">
        <v>10660</v>
      </c>
      <c r="AW435" s="74"/>
      <c r="AX435" s="1"/>
      <c r="AY435" s="17" t="s">
        <v>101</v>
      </c>
    </row>
    <row r="436" spans="1:51" ht="15" customHeight="1" x14ac:dyDescent="0.25">
      <c r="A436" s="5">
        <v>428</v>
      </c>
      <c r="B436" s="9">
        <v>428</v>
      </c>
      <c r="C436" s="9" t="s">
        <v>5316</v>
      </c>
      <c r="D436" s="57" t="str">
        <f>HYPERLINK("http://prodenv.dep.state.fl.us/DepNexus/public/electronic-documents/OG_428/facility!search","OG_428_Docs")</f>
        <v>OG_428_Docs</v>
      </c>
      <c r="E436" s="57" t="str">
        <f>HYPERLINK("https://ca.dep.state.fl.us/mapdirect/?focus=oilandgas&amp;zoom=query&amp;querytype=oilandgas&amp;queryvalues=OG_428","OG_428_Map")</f>
        <v>OG_428_Map</v>
      </c>
      <c r="F436" s="1" t="s">
        <v>1752</v>
      </c>
      <c r="G436" s="1" t="s">
        <v>4496</v>
      </c>
      <c r="H436" s="1" t="s">
        <v>5029</v>
      </c>
      <c r="I436" s="1" t="s">
        <v>5317</v>
      </c>
      <c r="J436" s="17" t="s">
        <v>268</v>
      </c>
      <c r="K436" s="17" t="s">
        <v>412</v>
      </c>
      <c r="L436" s="17"/>
      <c r="M436" s="17"/>
      <c r="N436" s="52" t="s">
        <v>3956</v>
      </c>
      <c r="O436" s="17" t="s">
        <v>86</v>
      </c>
      <c r="P436" s="17" t="s">
        <v>86</v>
      </c>
      <c r="Q436" s="81" t="s">
        <v>5318</v>
      </c>
      <c r="R436" s="11">
        <v>26.524222999999999</v>
      </c>
      <c r="S436" s="11">
        <v>-81.551739999999995</v>
      </c>
      <c r="T436" s="11" t="s">
        <v>5319</v>
      </c>
      <c r="U436" s="11" t="s">
        <v>5320</v>
      </c>
      <c r="V436" s="17" t="s">
        <v>5321</v>
      </c>
      <c r="W436" s="17" t="s">
        <v>110</v>
      </c>
      <c r="X436" s="70">
        <v>41</v>
      </c>
      <c r="Y436" s="70">
        <v>31</v>
      </c>
      <c r="Z436" s="13">
        <v>25728</v>
      </c>
      <c r="AA436" s="13">
        <v>25777</v>
      </c>
      <c r="AB436" s="13">
        <v>25827</v>
      </c>
      <c r="AC436" s="13">
        <v>34302</v>
      </c>
      <c r="AD436" s="86">
        <v>11710</v>
      </c>
      <c r="AE436" s="86">
        <v>11710</v>
      </c>
      <c r="AF436" s="70" t="s">
        <v>5035</v>
      </c>
      <c r="AG436" s="17" t="s">
        <v>5322</v>
      </c>
      <c r="AH436" s="17" t="s">
        <v>5323</v>
      </c>
      <c r="AI436" s="70" t="s">
        <v>5324</v>
      </c>
      <c r="AJ436" s="17" t="s">
        <v>5325</v>
      </c>
      <c r="AK436" s="17" t="s">
        <v>95</v>
      </c>
      <c r="AL436" s="17" t="s">
        <v>5326</v>
      </c>
      <c r="AM436" s="17" t="s">
        <v>825</v>
      </c>
      <c r="AN436" s="17" t="s">
        <v>86</v>
      </c>
      <c r="AO436" s="17" t="s">
        <v>5327</v>
      </c>
      <c r="AP436" s="17">
        <v>40</v>
      </c>
      <c r="AQ436" s="17" t="s">
        <v>5328</v>
      </c>
      <c r="AR436" s="17" t="s">
        <v>5329</v>
      </c>
      <c r="AS436" s="17" t="s">
        <v>5330</v>
      </c>
      <c r="AT436" s="17"/>
      <c r="AU436" s="30" t="s">
        <v>5331</v>
      </c>
      <c r="AV436" s="14">
        <v>10658</v>
      </c>
      <c r="AW436" s="74"/>
      <c r="AX436" s="1"/>
      <c r="AY436" s="17" t="s">
        <v>101</v>
      </c>
    </row>
    <row r="437" spans="1:51" ht="15" customHeight="1" x14ac:dyDescent="0.25">
      <c r="A437" s="5">
        <v>429</v>
      </c>
      <c r="B437" s="9">
        <v>429</v>
      </c>
      <c r="C437" s="9" t="s">
        <v>5332</v>
      </c>
      <c r="D437" s="57" t="str">
        <f>HYPERLINK("http://prodenv.dep.state.fl.us/DepNexus/public/electronic-documents/OG_429/facility!search","OG_429_Docs")</f>
        <v>OG_429_Docs</v>
      </c>
      <c r="E437" s="57" t="str">
        <f>HYPERLINK("https://ca.dep.state.fl.us/mapdirect/?focus=oilandgas&amp;zoom=query&amp;querytype=oilandgas&amp;queryvalues=OG_429","OG_429_Map")</f>
        <v>OG_429_Map</v>
      </c>
      <c r="F437" s="1" t="s">
        <v>1752</v>
      </c>
      <c r="G437" s="1" t="s">
        <v>4496</v>
      </c>
      <c r="H437" s="1" t="s">
        <v>3669</v>
      </c>
      <c r="I437" s="1" t="s">
        <v>5333</v>
      </c>
      <c r="J437" s="17" t="s">
        <v>268</v>
      </c>
      <c r="K437" s="17" t="s">
        <v>412</v>
      </c>
      <c r="L437" s="17"/>
      <c r="M437" s="17"/>
      <c r="N437" s="52" t="s">
        <v>5334</v>
      </c>
      <c r="O437" s="17" t="s">
        <v>86</v>
      </c>
      <c r="P437" s="17" t="s">
        <v>86</v>
      </c>
      <c r="Q437" s="81" t="s">
        <v>5335</v>
      </c>
      <c r="R437" s="11">
        <v>26.518298999999999</v>
      </c>
      <c r="S437" s="11">
        <v>-81.560055000000006</v>
      </c>
      <c r="T437" s="11" t="s">
        <v>5336</v>
      </c>
      <c r="U437" s="11" t="s">
        <v>5337</v>
      </c>
      <c r="V437" s="17" t="s">
        <v>5338</v>
      </c>
      <c r="W437" s="17" t="s">
        <v>110</v>
      </c>
      <c r="X437" s="70">
        <v>44</v>
      </c>
      <c r="Y437" s="70">
        <v>29</v>
      </c>
      <c r="Z437" s="13">
        <v>25742</v>
      </c>
      <c r="AA437" s="13">
        <v>25857</v>
      </c>
      <c r="AB437" s="13">
        <v>25924</v>
      </c>
      <c r="AC437" s="13">
        <v>33438</v>
      </c>
      <c r="AD437" s="86">
        <v>11608</v>
      </c>
      <c r="AE437" s="86">
        <v>11608</v>
      </c>
      <c r="AF437" s="70" t="s">
        <v>5297</v>
      </c>
      <c r="AG437" s="17" t="s">
        <v>5339</v>
      </c>
      <c r="AH437" s="17" t="s">
        <v>5340</v>
      </c>
      <c r="AI437" s="70" t="s">
        <v>5341</v>
      </c>
      <c r="AJ437" s="17" t="s">
        <v>5342</v>
      </c>
      <c r="AK437" s="17" t="s">
        <v>95</v>
      </c>
      <c r="AL437" s="17" t="s">
        <v>5343</v>
      </c>
      <c r="AM437" s="17" t="s">
        <v>825</v>
      </c>
      <c r="AN437" s="17" t="s">
        <v>94</v>
      </c>
      <c r="AO437" s="17" t="s">
        <v>5344</v>
      </c>
      <c r="AP437" s="17" t="s">
        <v>5345</v>
      </c>
      <c r="AQ437" s="17" t="s">
        <v>5346</v>
      </c>
      <c r="AR437" s="17" t="s">
        <v>5347</v>
      </c>
      <c r="AS437" s="17" t="s">
        <v>5348</v>
      </c>
      <c r="AT437" s="17"/>
      <c r="AU437" s="30" t="s">
        <v>5349</v>
      </c>
      <c r="AV437" s="14">
        <v>10766</v>
      </c>
      <c r="AW437" s="74"/>
      <c r="AX437" s="1"/>
      <c r="AY437" s="17" t="s">
        <v>101</v>
      </c>
    </row>
    <row r="438" spans="1:51" ht="15" customHeight="1" x14ac:dyDescent="0.25">
      <c r="A438" s="5">
        <v>430</v>
      </c>
      <c r="B438" s="9">
        <v>430</v>
      </c>
      <c r="C438" s="9" t="s">
        <v>5350</v>
      </c>
      <c r="D438" s="57" t="str">
        <f>HYPERLINK("http://prodenv.dep.state.fl.us/DepNexus/public/electronic-documents/OG_430/facility!search","OG_430_Docs")</f>
        <v>OG_430_Docs</v>
      </c>
      <c r="E438" s="57" t="str">
        <f>HYPERLINK("https://ca.dep.state.fl.us/mapdirect/?focus=oilandgas&amp;zoom=query&amp;querytype=oilandgas&amp;queryvalues=OG_430","OG_430_Map")</f>
        <v>OG_430_Map</v>
      </c>
      <c r="F438" s="1" t="s">
        <v>2026</v>
      </c>
      <c r="G438" s="1" t="s">
        <v>4496</v>
      </c>
      <c r="H438" s="1" t="s">
        <v>176</v>
      </c>
      <c r="I438" s="1" t="s">
        <v>5351</v>
      </c>
      <c r="J438" s="17" t="s">
        <v>207</v>
      </c>
      <c r="K438" s="17" t="s">
        <v>208</v>
      </c>
      <c r="L438" s="17"/>
      <c r="M438" s="17" t="s">
        <v>207</v>
      </c>
      <c r="N438" s="52" t="s">
        <v>86</v>
      </c>
      <c r="O438" s="17" t="s">
        <v>86</v>
      </c>
      <c r="P438" s="17" t="s">
        <v>86</v>
      </c>
      <c r="Q438" s="81" t="s">
        <v>5352</v>
      </c>
      <c r="R438" s="11">
        <v>26.538160999999999</v>
      </c>
      <c r="S438" s="11">
        <v>-81.576548000000003</v>
      </c>
      <c r="T438" s="11" t="s">
        <v>5353</v>
      </c>
      <c r="U438" s="11" t="s">
        <v>5354</v>
      </c>
      <c r="V438" s="17" t="s">
        <v>5355</v>
      </c>
      <c r="W438" s="17" t="s">
        <v>110</v>
      </c>
      <c r="X438" s="70"/>
      <c r="Y438" s="70"/>
      <c r="Z438" s="13">
        <v>25749</v>
      </c>
      <c r="AA438" s="13"/>
      <c r="AB438" s="13"/>
      <c r="AC438" s="13"/>
      <c r="AD438" s="86"/>
      <c r="AE438" s="70"/>
      <c r="AF438" s="70" t="s">
        <v>207</v>
      </c>
      <c r="AG438" s="14" t="s">
        <v>207</v>
      </c>
      <c r="AH438" s="14" t="s">
        <v>207</v>
      </c>
      <c r="AI438" s="70" t="s">
        <v>207</v>
      </c>
      <c r="AJ438" s="14" t="s">
        <v>207</v>
      </c>
      <c r="AK438" s="14" t="s">
        <v>207</v>
      </c>
      <c r="AL438" s="14" t="s">
        <v>207</v>
      </c>
      <c r="AM438" s="14" t="s">
        <v>207</v>
      </c>
      <c r="AN438" s="14" t="s">
        <v>207</v>
      </c>
      <c r="AO438" s="14" t="s">
        <v>207</v>
      </c>
      <c r="AP438" s="14" t="s">
        <v>207</v>
      </c>
      <c r="AQ438" s="14" t="s">
        <v>207</v>
      </c>
      <c r="AR438" s="14" t="s">
        <v>207</v>
      </c>
      <c r="AS438" s="14" t="s">
        <v>207</v>
      </c>
      <c r="AT438" s="14" t="s">
        <v>207</v>
      </c>
      <c r="AU438" s="30" t="s">
        <v>5356</v>
      </c>
      <c r="AV438" s="14" t="s">
        <v>207</v>
      </c>
      <c r="AW438" s="74"/>
      <c r="AX438" s="1"/>
      <c r="AY438" s="17" t="s">
        <v>101</v>
      </c>
    </row>
    <row r="439" spans="1:51" ht="12.75" customHeight="1" x14ac:dyDescent="0.25">
      <c r="A439" s="5">
        <v>431</v>
      </c>
      <c r="B439" s="9">
        <v>431</v>
      </c>
      <c r="C439" s="9" t="s">
        <v>5357</v>
      </c>
      <c r="D439" s="57" t="str">
        <f>HYPERLINK("http://prodenv.dep.state.fl.us/DepNexus/public/electronic-documents/OG_431/facility!search","OG_431_Docs")</f>
        <v>OG_431_Docs</v>
      </c>
      <c r="E439" s="57" t="str">
        <f>HYPERLINK("https://ca.dep.state.fl.us/mapdirect/?focus=oilandgas&amp;zoom=query&amp;querytype=oilandgas&amp;queryvalues=OG_431","OG_431_Map")</f>
        <v>OG_431_Map</v>
      </c>
      <c r="F439" s="1" t="s">
        <v>1752</v>
      </c>
      <c r="G439" s="1" t="s">
        <v>4496</v>
      </c>
      <c r="H439" s="1" t="s">
        <v>3624</v>
      </c>
      <c r="I439" s="1" t="s">
        <v>5358</v>
      </c>
      <c r="J439" s="17" t="s">
        <v>268</v>
      </c>
      <c r="K439" s="17" t="s">
        <v>412</v>
      </c>
      <c r="L439" s="17"/>
      <c r="M439" s="17"/>
      <c r="N439" s="52" t="s">
        <v>3626</v>
      </c>
      <c r="O439" s="17" t="s">
        <v>86</v>
      </c>
      <c r="P439" s="17" t="s">
        <v>86</v>
      </c>
      <c r="Q439" s="81" t="s">
        <v>5359</v>
      </c>
      <c r="R439" s="11">
        <v>26.538273</v>
      </c>
      <c r="S439" s="11">
        <v>-81.552572999999995</v>
      </c>
      <c r="T439" s="11" t="s">
        <v>5360</v>
      </c>
      <c r="U439" s="11" t="s">
        <v>5361</v>
      </c>
      <c r="V439" s="17" t="s">
        <v>5362</v>
      </c>
      <c r="W439" s="17" t="s">
        <v>110</v>
      </c>
      <c r="X439" s="70">
        <v>32</v>
      </c>
      <c r="Y439" s="70">
        <v>46</v>
      </c>
      <c r="Z439" s="13">
        <v>25749</v>
      </c>
      <c r="AA439" s="13">
        <v>25845</v>
      </c>
      <c r="AB439" s="13">
        <v>25922</v>
      </c>
      <c r="AC439" s="13">
        <v>36917</v>
      </c>
      <c r="AD439" s="86">
        <v>11715</v>
      </c>
      <c r="AE439" s="86">
        <v>11715</v>
      </c>
      <c r="AF439" s="70" t="s">
        <v>5363</v>
      </c>
      <c r="AG439" s="17" t="s">
        <v>5364</v>
      </c>
      <c r="AH439" s="17" t="s">
        <v>5073</v>
      </c>
      <c r="AI439" s="70" t="s">
        <v>5365</v>
      </c>
      <c r="AJ439" s="17" t="s">
        <v>5366</v>
      </c>
      <c r="AK439" s="17" t="s">
        <v>95</v>
      </c>
      <c r="AL439" s="17" t="s">
        <v>5367</v>
      </c>
      <c r="AM439" s="17" t="s">
        <v>825</v>
      </c>
      <c r="AN439" s="17" t="s">
        <v>86</v>
      </c>
      <c r="AO439" s="17" t="s">
        <v>5368</v>
      </c>
      <c r="AP439" s="17" t="s">
        <v>3638</v>
      </c>
      <c r="AQ439" s="17" t="s">
        <v>5369</v>
      </c>
      <c r="AR439" s="17" t="s">
        <v>5370</v>
      </c>
      <c r="AS439" s="17" t="s">
        <v>5371</v>
      </c>
      <c r="AT439" s="17"/>
      <c r="AU439" s="30" t="s">
        <v>5372</v>
      </c>
      <c r="AV439" s="14">
        <v>10706</v>
      </c>
      <c r="AW439" s="74"/>
      <c r="AX439" s="1"/>
      <c r="AY439" s="17" t="s">
        <v>101</v>
      </c>
    </row>
    <row r="440" spans="1:51" ht="15" customHeight="1" x14ac:dyDescent="0.25">
      <c r="A440" s="5">
        <v>432</v>
      </c>
      <c r="B440" s="9">
        <v>432</v>
      </c>
      <c r="C440" s="9" t="s">
        <v>5373</v>
      </c>
      <c r="D440" s="57" t="str">
        <f>HYPERLINK("http://prodenv.dep.state.fl.us/DepNexus/public/electronic-documents/OG_432/facility!search","OG_432_Docs")</f>
        <v>OG_432_Docs</v>
      </c>
      <c r="E440" s="57" t="str">
        <f>HYPERLINK("https://ca.dep.state.fl.us/mapdirect/?focus=oilandgas&amp;zoom=query&amp;querytype=oilandgas&amp;queryvalues=OG_432","OG_432_Map")</f>
        <v>OG_432_Map</v>
      </c>
      <c r="F440" s="1" t="s">
        <v>1752</v>
      </c>
      <c r="G440" s="1" t="s">
        <v>4496</v>
      </c>
      <c r="H440" s="1" t="s">
        <v>176</v>
      </c>
      <c r="I440" s="1" t="s">
        <v>5374</v>
      </c>
      <c r="J440" s="17" t="s">
        <v>207</v>
      </c>
      <c r="K440" s="17" t="s">
        <v>208</v>
      </c>
      <c r="L440" s="17"/>
      <c r="M440" s="17" t="s">
        <v>207</v>
      </c>
      <c r="N440" s="52" t="s">
        <v>86</v>
      </c>
      <c r="O440" s="17" t="s">
        <v>86</v>
      </c>
      <c r="P440" s="17" t="s">
        <v>86</v>
      </c>
      <c r="Q440" s="81" t="s">
        <v>5375</v>
      </c>
      <c r="R440" s="11">
        <v>26.536738</v>
      </c>
      <c r="S440" s="11">
        <v>-81.558593000000002</v>
      </c>
      <c r="T440" s="11" t="s">
        <v>5376</v>
      </c>
      <c r="U440" s="11" t="s">
        <v>5377</v>
      </c>
      <c r="V440" s="17" t="s">
        <v>5378</v>
      </c>
      <c r="W440" s="17" t="s">
        <v>110</v>
      </c>
      <c r="X440" s="70"/>
      <c r="Y440" s="70"/>
      <c r="Z440" s="13">
        <v>25749</v>
      </c>
      <c r="AA440" s="13"/>
      <c r="AB440" s="13"/>
      <c r="AC440" s="13"/>
      <c r="AD440" s="86"/>
      <c r="AE440" s="70"/>
      <c r="AF440" s="70" t="s">
        <v>207</v>
      </c>
      <c r="AG440" s="14" t="s">
        <v>207</v>
      </c>
      <c r="AH440" s="14" t="s">
        <v>207</v>
      </c>
      <c r="AI440" s="70" t="s">
        <v>207</v>
      </c>
      <c r="AJ440" s="14" t="s">
        <v>207</v>
      </c>
      <c r="AK440" s="14" t="s">
        <v>207</v>
      </c>
      <c r="AL440" s="14" t="s">
        <v>207</v>
      </c>
      <c r="AM440" s="14" t="s">
        <v>207</v>
      </c>
      <c r="AN440" s="14" t="s">
        <v>207</v>
      </c>
      <c r="AO440" s="14" t="s">
        <v>207</v>
      </c>
      <c r="AP440" s="14" t="s">
        <v>207</v>
      </c>
      <c r="AQ440" s="14" t="s">
        <v>207</v>
      </c>
      <c r="AR440" s="14" t="s">
        <v>207</v>
      </c>
      <c r="AS440" s="14" t="s">
        <v>207</v>
      </c>
      <c r="AT440" s="14" t="s">
        <v>207</v>
      </c>
      <c r="AU440" s="30" t="s">
        <v>5379</v>
      </c>
      <c r="AV440" s="14" t="s">
        <v>207</v>
      </c>
      <c r="AW440" s="74"/>
      <c r="AX440" s="1"/>
      <c r="AY440" s="17" t="s">
        <v>101</v>
      </c>
    </row>
    <row r="441" spans="1:51" ht="12.75" customHeight="1" x14ac:dyDescent="0.25">
      <c r="A441" s="5">
        <v>433</v>
      </c>
      <c r="B441" s="9">
        <v>433</v>
      </c>
      <c r="C441" s="9" t="s">
        <v>5380</v>
      </c>
      <c r="D441" s="57" t="str">
        <f>HYPERLINK("http://prodenv.dep.state.fl.us/DepNexus/public/electronic-documents/OG_433/facility!search","OG_433_Docs")</f>
        <v>OG_433_Docs</v>
      </c>
      <c r="E441" s="57" t="str">
        <f>HYPERLINK("https://ca.dep.state.fl.us/mapdirect/?focus=oilandgas&amp;zoom=query&amp;querytype=oilandgas&amp;queryvalues=OG_433","OG_433_Map")</f>
        <v>OG_433_Map</v>
      </c>
      <c r="F441" s="1" t="s">
        <v>1752</v>
      </c>
      <c r="G441" s="1" t="s">
        <v>4496</v>
      </c>
      <c r="H441" s="1" t="s">
        <v>176</v>
      </c>
      <c r="I441" s="1" t="s">
        <v>5381</v>
      </c>
      <c r="J441" s="17" t="s">
        <v>268</v>
      </c>
      <c r="K441" s="17" t="s">
        <v>412</v>
      </c>
      <c r="L441" s="17"/>
      <c r="M441" s="17"/>
      <c r="N441" s="52" t="s">
        <v>3956</v>
      </c>
      <c r="O441" s="17" t="s">
        <v>86</v>
      </c>
      <c r="P441" s="17" t="s">
        <v>86</v>
      </c>
      <c r="Q441" s="81" t="s">
        <v>5382</v>
      </c>
      <c r="R441" s="11">
        <v>26.518771999999998</v>
      </c>
      <c r="S441" s="11">
        <v>-81.537270000000007</v>
      </c>
      <c r="T441" s="11" t="s">
        <v>5383</v>
      </c>
      <c r="U441" s="11" t="s">
        <v>5384</v>
      </c>
      <c r="V441" s="17" t="s">
        <v>5385</v>
      </c>
      <c r="W441" s="17" t="s">
        <v>110</v>
      </c>
      <c r="X441" s="70">
        <v>46</v>
      </c>
      <c r="Y441" s="70">
        <v>29</v>
      </c>
      <c r="Z441" s="13">
        <v>25749</v>
      </c>
      <c r="AA441" s="13">
        <v>25806</v>
      </c>
      <c r="AB441" s="13">
        <v>25854</v>
      </c>
      <c r="AC441" s="13">
        <v>32958</v>
      </c>
      <c r="AD441" s="86">
        <v>11735</v>
      </c>
      <c r="AE441" s="86">
        <v>11735</v>
      </c>
      <c r="AF441" s="70" t="s">
        <v>5386</v>
      </c>
      <c r="AG441" s="17" t="s">
        <v>5387</v>
      </c>
      <c r="AH441" s="17" t="s">
        <v>5388</v>
      </c>
      <c r="AI441" s="70" t="s">
        <v>5239</v>
      </c>
      <c r="AJ441" s="17" t="s">
        <v>5240</v>
      </c>
      <c r="AK441" s="17" t="s">
        <v>95</v>
      </c>
      <c r="AL441" s="17" t="s">
        <v>86</v>
      </c>
      <c r="AM441" s="17" t="s">
        <v>94</v>
      </c>
      <c r="AN441" s="17" t="s">
        <v>86</v>
      </c>
      <c r="AO441" s="17" t="s">
        <v>5389</v>
      </c>
      <c r="AP441" s="17" t="s">
        <v>94</v>
      </c>
      <c r="AQ441" s="17" t="s">
        <v>5390</v>
      </c>
      <c r="AR441" s="17" t="s">
        <v>5391</v>
      </c>
      <c r="AS441" s="17" t="s">
        <v>5392</v>
      </c>
      <c r="AT441" s="17">
        <v>188</v>
      </c>
      <c r="AU441" s="30" t="s">
        <v>5393</v>
      </c>
      <c r="AV441" s="14">
        <v>10624</v>
      </c>
      <c r="AW441" s="74"/>
      <c r="AX441" s="1"/>
      <c r="AY441" s="17" t="s">
        <v>101</v>
      </c>
    </row>
    <row r="442" spans="1:51" ht="15" customHeight="1" x14ac:dyDescent="0.25">
      <c r="A442" s="5">
        <v>434</v>
      </c>
      <c r="B442" s="9">
        <v>434</v>
      </c>
      <c r="C442" s="9" t="s">
        <v>5394</v>
      </c>
      <c r="D442" s="57" t="str">
        <f>HYPERLINK("http://prodenv.dep.state.fl.us/DepNexus/public/electronic-documents/OG_434/facility!search","OG_434_Docs")</f>
        <v>OG_434_Docs</v>
      </c>
      <c r="E442" s="57" t="str">
        <f>HYPERLINK("https://ca.dep.state.fl.us/mapdirect/?focus=oilandgas&amp;zoom=query&amp;querytype=oilandgas&amp;queryvalues=OG_434","OG_434_Map")</f>
        <v>OG_434_Map</v>
      </c>
      <c r="F442" s="1" t="s">
        <v>1797</v>
      </c>
      <c r="G442" s="1" t="s">
        <v>5133</v>
      </c>
      <c r="H442" s="1" t="s">
        <v>1363</v>
      </c>
      <c r="I442" s="1" t="s">
        <v>5395</v>
      </c>
      <c r="J442" s="17" t="s">
        <v>3646</v>
      </c>
      <c r="K442" s="17" t="s">
        <v>412</v>
      </c>
      <c r="L442" s="17"/>
      <c r="M442" s="17"/>
      <c r="N442" s="52" t="s">
        <v>5396</v>
      </c>
      <c r="O442" s="17" t="s">
        <v>86</v>
      </c>
      <c r="P442" s="17" t="s">
        <v>86</v>
      </c>
      <c r="Q442" s="81" t="s">
        <v>5397</v>
      </c>
      <c r="R442" s="11">
        <v>30.971588000000001</v>
      </c>
      <c r="S442" s="11">
        <v>-87.175343999999996</v>
      </c>
      <c r="T442" s="11" t="s">
        <v>5398</v>
      </c>
      <c r="U442" s="11" t="s">
        <v>5399</v>
      </c>
      <c r="V442" s="17" t="s">
        <v>5400</v>
      </c>
      <c r="W442" s="17" t="s">
        <v>5401</v>
      </c>
      <c r="X442" s="70">
        <v>146</v>
      </c>
      <c r="Y442" s="70">
        <v>129</v>
      </c>
      <c r="Z442" s="13">
        <v>25749</v>
      </c>
      <c r="AA442" s="13">
        <v>25758</v>
      </c>
      <c r="AB442" s="13">
        <v>25973</v>
      </c>
      <c r="AC442" s="13"/>
      <c r="AD442" s="86">
        <v>15744</v>
      </c>
      <c r="AE442" s="86">
        <v>15744</v>
      </c>
      <c r="AF442" s="70" t="s">
        <v>5402</v>
      </c>
      <c r="AG442" s="17" t="s">
        <v>5403</v>
      </c>
      <c r="AH442" s="17" t="s">
        <v>94</v>
      </c>
      <c r="AI442" s="70" t="s">
        <v>5404</v>
      </c>
      <c r="AJ442" s="17" t="s">
        <v>5405</v>
      </c>
      <c r="AK442" s="17" t="s">
        <v>95</v>
      </c>
      <c r="AL442" s="17" t="s">
        <v>5406</v>
      </c>
      <c r="AM442" s="17" t="s">
        <v>95</v>
      </c>
      <c r="AN442" s="17" t="s">
        <v>86</v>
      </c>
      <c r="AO442" s="17" t="s">
        <v>5407</v>
      </c>
      <c r="AP442" s="17">
        <v>0</v>
      </c>
      <c r="AQ442" s="17" t="s">
        <v>5408</v>
      </c>
      <c r="AR442" s="17" t="s">
        <v>5409</v>
      </c>
      <c r="AS442" s="17"/>
      <c r="AT442" s="17">
        <v>245</v>
      </c>
      <c r="AU442" s="30" t="s">
        <v>5410</v>
      </c>
      <c r="AV442" s="14">
        <v>10707</v>
      </c>
      <c r="AW442" s="74">
        <v>309835</v>
      </c>
      <c r="AX442" s="1"/>
      <c r="AY442" s="17" t="s">
        <v>101</v>
      </c>
    </row>
    <row r="443" spans="1:51" ht="15" customHeight="1" x14ac:dyDescent="0.25">
      <c r="A443" s="5">
        <v>435</v>
      </c>
      <c r="B443" s="9">
        <v>435</v>
      </c>
      <c r="C443" s="9" t="s">
        <v>5411</v>
      </c>
      <c r="D443" s="57" t="str">
        <f>HYPERLINK("http://prodenv.dep.state.fl.us/DepNexus/public/electronic-documents/OG_435/facility!search","OG_435_Docs")</f>
        <v>OG_435_Docs</v>
      </c>
      <c r="E443" s="57" t="str">
        <f>HYPERLINK("https://ca.dep.state.fl.us/mapdirect/?focus=oilandgas&amp;zoom=query&amp;querytype=oilandgas&amp;queryvalues=OG_435","OG_435_Map")</f>
        <v>OG_435_Map</v>
      </c>
      <c r="F443" s="1" t="s">
        <v>5412</v>
      </c>
      <c r="G443" s="1" t="s">
        <v>79</v>
      </c>
      <c r="H443" s="1" t="s">
        <v>5413</v>
      </c>
      <c r="I443" s="1" t="s">
        <v>5414</v>
      </c>
      <c r="J443" s="17" t="s">
        <v>82</v>
      </c>
      <c r="K443" s="17" t="s">
        <v>83</v>
      </c>
      <c r="L443" s="17"/>
      <c r="M443" s="17" t="s">
        <v>101</v>
      </c>
      <c r="N443" s="52" t="s">
        <v>5415</v>
      </c>
      <c r="O443" s="17" t="s">
        <v>86</v>
      </c>
      <c r="P443" s="17" t="s">
        <v>86</v>
      </c>
      <c r="Q443" s="81" t="s">
        <v>5416</v>
      </c>
      <c r="R443" s="11">
        <v>29.954342</v>
      </c>
      <c r="S443" s="11">
        <v>-81.410708</v>
      </c>
      <c r="T443" s="11" t="s">
        <v>5417</v>
      </c>
      <c r="U443" s="11" t="s">
        <v>5418</v>
      </c>
      <c r="V443" s="17" t="s">
        <v>5419</v>
      </c>
      <c r="W443" s="17" t="s">
        <v>110</v>
      </c>
      <c r="X443" s="70">
        <v>42</v>
      </c>
      <c r="Y443" s="70"/>
      <c r="Z443" s="13">
        <v>25777</v>
      </c>
      <c r="AA443" s="13">
        <v>25801</v>
      </c>
      <c r="AB443" s="13"/>
      <c r="AC443" s="13">
        <v>25841</v>
      </c>
      <c r="AD443" s="86">
        <v>4850</v>
      </c>
      <c r="AE443" s="70">
        <v>4850</v>
      </c>
      <c r="AF443" s="70" t="s">
        <v>5420</v>
      </c>
      <c r="AG443" s="14" t="s">
        <v>5421</v>
      </c>
      <c r="AH443" s="14" t="s">
        <v>5422</v>
      </c>
      <c r="AI443" s="70" t="s">
        <v>94</v>
      </c>
      <c r="AJ443" s="14" t="s">
        <v>94</v>
      </c>
      <c r="AK443" s="14" t="s">
        <v>95</v>
      </c>
      <c r="AL443" s="14" t="s">
        <v>825</v>
      </c>
      <c r="AM443" s="14" t="s">
        <v>825</v>
      </c>
      <c r="AN443" s="14" t="s">
        <v>94</v>
      </c>
      <c r="AO443" s="14" t="s">
        <v>98</v>
      </c>
      <c r="AP443" s="14" t="s">
        <v>98</v>
      </c>
      <c r="AQ443" s="14" t="s">
        <v>98</v>
      </c>
      <c r="AR443" s="14" t="s">
        <v>94</v>
      </c>
      <c r="AS443" s="14" t="s">
        <v>5423</v>
      </c>
      <c r="AT443" s="14"/>
      <c r="AU443" s="30" t="s">
        <v>5424</v>
      </c>
      <c r="AV443" s="14">
        <v>10653</v>
      </c>
      <c r="AW443" s="74"/>
      <c r="AX443" s="1"/>
      <c r="AY443" s="17" t="s">
        <v>101</v>
      </c>
    </row>
    <row r="444" spans="1:51" ht="12.75" customHeight="1" x14ac:dyDescent="0.25">
      <c r="A444" s="5">
        <v>436</v>
      </c>
      <c r="B444" s="9">
        <v>436</v>
      </c>
      <c r="C444" s="9" t="s">
        <v>5425</v>
      </c>
      <c r="D444" s="57" t="str">
        <f>HYPERLINK("http://prodenv.dep.state.fl.us/DepNexus/public/electronic-documents/OG_436/facility!search","OG_436_Docs")</f>
        <v>OG_436_Docs</v>
      </c>
      <c r="E444" s="57" t="str">
        <f>HYPERLINK("https://ca.dep.state.fl.us/mapdirect/?focus=oilandgas&amp;zoom=query&amp;querytype=oilandgas&amp;queryvalues=OG_436","OG_436_Map")</f>
        <v>OG_436_Map</v>
      </c>
      <c r="F444" s="1" t="s">
        <v>2026</v>
      </c>
      <c r="G444" s="1" t="s">
        <v>4496</v>
      </c>
      <c r="H444" s="1" t="s">
        <v>176</v>
      </c>
      <c r="I444" s="1" t="s">
        <v>5426</v>
      </c>
      <c r="J444" s="17" t="s">
        <v>207</v>
      </c>
      <c r="K444" s="17" t="s">
        <v>208</v>
      </c>
      <c r="L444" s="17"/>
      <c r="M444" s="17" t="s">
        <v>207</v>
      </c>
      <c r="N444" s="52" t="s">
        <v>86</v>
      </c>
      <c r="O444" s="17" t="s">
        <v>86</v>
      </c>
      <c r="P444" s="17" t="s">
        <v>86</v>
      </c>
      <c r="Q444" s="81" t="s">
        <v>5427</v>
      </c>
      <c r="R444" s="11">
        <v>26.581803000000001</v>
      </c>
      <c r="S444" s="11">
        <v>-81.640559999999994</v>
      </c>
      <c r="T444" s="11" t="s">
        <v>5428</v>
      </c>
      <c r="U444" s="11" t="s">
        <v>5429</v>
      </c>
      <c r="V444" s="17" t="s">
        <v>5430</v>
      </c>
      <c r="W444" s="17" t="s">
        <v>110</v>
      </c>
      <c r="X444" s="70"/>
      <c r="Y444" s="70"/>
      <c r="Z444" s="13">
        <v>25784</v>
      </c>
      <c r="AA444" s="13"/>
      <c r="AB444" s="13"/>
      <c r="AC444" s="13"/>
      <c r="AD444" s="86"/>
      <c r="AE444" s="70"/>
      <c r="AF444" s="70" t="s">
        <v>207</v>
      </c>
      <c r="AG444" s="14" t="s">
        <v>207</v>
      </c>
      <c r="AH444" s="14" t="s">
        <v>207</v>
      </c>
      <c r="AI444" s="70" t="s">
        <v>207</v>
      </c>
      <c r="AJ444" s="14" t="s">
        <v>207</v>
      </c>
      <c r="AK444" s="14" t="s">
        <v>207</v>
      </c>
      <c r="AL444" s="14" t="s">
        <v>207</v>
      </c>
      <c r="AM444" s="14" t="s">
        <v>207</v>
      </c>
      <c r="AN444" s="14" t="s">
        <v>207</v>
      </c>
      <c r="AO444" s="14" t="s">
        <v>207</v>
      </c>
      <c r="AP444" s="14" t="s">
        <v>207</v>
      </c>
      <c r="AQ444" s="14" t="s">
        <v>207</v>
      </c>
      <c r="AR444" s="14" t="s">
        <v>207</v>
      </c>
      <c r="AS444" s="14" t="s">
        <v>207</v>
      </c>
      <c r="AT444" s="14" t="s">
        <v>207</v>
      </c>
      <c r="AU444" s="30" t="s">
        <v>5431</v>
      </c>
      <c r="AV444" s="14" t="s">
        <v>207</v>
      </c>
      <c r="AW444" s="74"/>
      <c r="AX444" s="1"/>
      <c r="AY444" s="17" t="s">
        <v>101</v>
      </c>
    </row>
    <row r="445" spans="1:51" ht="12.75" customHeight="1" x14ac:dyDescent="0.25">
      <c r="A445" s="5">
        <v>437</v>
      </c>
      <c r="B445" s="9">
        <v>437</v>
      </c>
      <c r="C445" s="9" t="s">
        <v>5432</v>
      </c>
      <c r="D445" s="57" t="str">
        <f>HYPERLINK("http://prodenv.dep.state.fl.us/DepNexus/public/electronic-documents/OG_437/facility!search","OG_437_Docs")</f>
        <v>OG_437_Docs</v>
      </c>
      <c r="E445" s="57" t="str">
        <f>HYPERLINK("https://ca.dep.state.fl.us/mapdirect/?focus=oilandgas&amp;zoom=query&amp;querytype=oilandgas&amp;queryvalues=OG_437","OG_437_Map")</f>
        <v>OG_437_Map</v>
      </c>
      <c r="F445" s="1" t="s">
        <v>1752</v>
      </c>
      <c r="G445" s="1" t="s">
        <v>3668</v>
      </c>
      <c r="H445" s="1" t="s">
        <v>176</v>
      </c>
      <c r="I445" s="1" t="s">
        <v>5433</v>
      </c>
      <c r="J445" s="17" t="s">
        <v>82</v>
      </c>
      <c r="K445" s="17" t="s">
        <v>83</v>
      </c>
      <c r="L445" s="17"/>
      <c r="M445" s="17"/>
      <c r="N445" s="52" t="s">
        <v>3956</v>
      </c>
      <c r="O445" s="17" t="s">
        <v>86</v>
      </c>
      <c r="P445" s="17" t="s">
        <v>86</v>
      </c>
      <c r="Q445" s="81" t="s">
        <v>5434</v>
      </c>
      <c r="R445" s="11">
        <v>26.516552999999998</v>
      </c>
      <c r="S445" s="11">
        <v>-81.485746000000006</v>
      </c>
      <c r="T445" s="11" t="s">
        <v>5435</v>
      </c>
      <c r="U445" s="11" t="s">
        <v>5436</v>
      </c>
      <c r="V445" s="17" t="s">
        <v>5437</v>
      </c>
      <c r="W445" s="17" t="s">
        <v>110</v>
      </c>
      <c r="X445" s="70">
        <v>50.25</v>
      </c>
      <c r="Y445" s="70">
        <v>36.6</v>
      </c>
      <c r="Z445" s="13">
        <v>25784</v>
      </c>
      <c r="AA445" s="13">
        <v>25817</v>
      </c>
      <c r="AB445" s="13"/>
      <c r="AC445" s="13">
        <v>25854</v>
      </c>
      <c r="AD445" s="86">
        <v>11690</v>
      </c>
      <c r="AE445" s="86">
        <v>11690</v>
      </c>
      <c r="AF445" s="70" t="s">
        <v>5297</v>
      </c>
      <c r="AG445" s="17" t="s">
        <v>5438</v>
      </c>
      <c r="AH445" s="17" t="s">
        <v>5439</v>
      </c>
      <c r="AI445" s="70" t="s">
        <v>94</v>
      </c>
      <c r="AJ445" s="17" t="s">
        <v>94</v>
      </c>
      <c r="AK445" s="17" t="s">
        <v>95</v>
      </c>
      <c r="AL445" s="17" t="s">
        <v>5440</v>
      </c>
      <c r="AM445" s="17" t="s">
        <v>825</v>
      </c>
      <c r="AN445" s="17" t="s">
        <v>94</v>
      </c>
      <c r="AO445" s="17" t="s">
        <v>98</v>
      </c>
      <c r="AP445" s="17" t="s">
        <v>98</v>
      </c>
      <c r="AQ445" s="17" t="s">
        <v>98</v>
      </c>
      <c r="AR445" s="17" t="s">
        <v>94</v>
      </c>
      <c r="AS445" s="17" t="s">
        <v>5441</v>
      </c>
      <c r="AT445" s="17"/>
      <c r="AU445" s="30" t="s">
        <v>5442</v>
      </c>
      <c r="AV445" s="14">
        <v>10710</v>
      </c>
      <c r="AW445" s="74"/>
      <c r="AX445" s="1"/>
      <c r="AY445" s="17" t="s">
        <v>101</v>
      </c>
    </row>
    <row r="446" spans="1:51" ht="12.75" customHeight="1" x14ac:dyDescent="0.25">
      <c r="A446" s="5">
        <v>438</v>
      </c>
      <c r="B446" s="9">
        <v>438</v>
      </c>
      <c r="C446" s="9" t="s">
        <v>5443</v>
      </c>
      <c r="D446" s="57" t="str">
        <f>HYPERLINK("http://prodenv.dep.state.fl.us/DepNexus/public/electronic-documents/OG_438/facility!search","OG_438_Docs")</f>
        <v>OG_438_Docs</v>
      </c>
      <c r="E446" s="57" t="str">
        <f>HYPERLINK("https://ca.dep.state.fl.us/mapdirect/?focus=oilandgas&amp;zoom=query&amp;querytype=oilandgas&amp;queryvalues=OG_438","OG_438_Map")</f>
        <v>OG_438_Map</v>
      </c>
      <c r="F446" s="1" t="s">
        <v>2026</v>
      </c>
      <c r="G446" s="1" t="s">
        <v>4496</v>
      </c>
      <c r="H446" s="1" t="s">
        <v>176</v>
      </c>
      <c r="I446" s="1" t="s">
        <v>5444</v>
      </c>
      <c r="J446" s="17" t="s">
        <v>207</v>
      </c>
      <c r="K446" s="17" t="s">
        <v>208</v>
      </c>
      <c r="L446" s="17"/>
      <c r="M446" s="17" t="s">
        <v>207</v>
      </c>
      <c r="N446" s="52" t="s">
        <v>86</v>
      </c>
      <c r="O446" s="17" t="s">
        <v>86</v>
      </c>
      <c r="P446" s="17" t="s">
        <v>86</v>
      </c>
      <c r="Q446" s="81" t="s">
        <v>5445</v>
      </c>
      <c r="R446" s="11">
        <v>26.565930000000002</v>
      </c>
      <c r="S446" s="11">
        <v>-81.593069</v>
      </c>
      <c r="T446" s="11" t="s">
        <v>5446</v>
      </c>
      <c r="U446" s="11" t="s">
        <v>5447</v>
      </c>
      <c r="V446" s="17" t="s">
        <v>5448</v>
      </c>
      <c r="W446" s="17" t="s">
        <v>110</v>
      </c>
      <c r="X446" s="70"/>
      <c r="Y446" s="70"/>
      <c r="Z446" s="13">
        <v>25805</v>
      </c>
      <c r="AA446" s="13"/>
      <c r="AB446" s="13"/>
      <c r="AC446" s="13"/>
      <c r="AD446" s="86"/>
      <c r="AE446" s="70"/>
      <c r="AF446" s="70" t="s">
        <v>207</v>
      </c>
      <c r="AG446" s="14" t="s">
        <v>207</v>
      </c>
      <c r="AH446" s="14" t="s">
        <v>207</v>
      </c>
      <c r="AI446" s="70" t="s">
        <v>207</v>
      </c>
      <c r="AJ446" s="14" t="s">
        <v>207</v>
      </c>
      <c r="AK446" s="14" t="s">
        <v>207</v>
      </c>
      <c r="AL446" s="14" t="s">
        <v>207</v>
      </c>
      <c r="AM446" s="14" t="s">
        <v>207</v>
      </c>
      <c r="AN446" s="14" t="s">
        <v>207</v>
      </c>
      <c r="AO446" s="14" t="s">
        <v>207</v>
      </c>
      <c r="AP446" s="14" t="s">
        <v>207</v>
      </c>
      <c r="AQ446" s="14" t="s">
        <v>207</v>
      </c>
      <c r="AR446" s="14" t="s">
        <v>207</v>
      </c>
      <c r="AS446" s="14" t="s">
        <v>207</v>
      </c>
      <c r="AT446" s="14" t="s">
        <v>207</v>
      </c>
      <c r="AU446" s="30" t="s">
        <v>5449</v>
      </c>
      <c r="AV446" s="14" t="s">
        <v>207</v>
      </c>
      <c r="AW446" s="74"/>
      <c r="AX446" s="1"/>
      <c r="AY446" s="17" t="s">
        <v>101</v>
      </c>
    </row>
    <row r="447" spans="1:51" ht="12.75" customHeight="1" x14ac:dyDescent="0.25">
      <c r="A447" s="5">
        <v>439</v>
      </c>
      <c r="B447" s="9">
        <v>439</v>
      </c>
      <c r="C447" s="9" t="s">
        <v>5450</v>
      </c>
      <c r="D447" s="57" t="str">
        <f>HYPERLINK("http://prodenv.dep.state.fl.us/DepNexus/public/electronic-documents/OG_439/facility!search","OG_439_Docs")</f>
        <v>OG_439_Docs</v>
      </c>
      <c r="E447" s="57" t="str">
        <f>HYPERLINK("https://ca.dep.state.fl.us/mapdirect/?focus=oilandgas&amp;zoom=query&amp;querytype=oilandgas&amp;queryvalues=OG_439","OG_439_Map")</f>
        <v>OG_439_Map</v>
      </c>
      <c r="F447" s="1" t="s">
        <v>2026</v>
      </c>
      <c r="G447" s="1" t="s">
        <v>4496</v>
      </c>
      <c r="H447" s="1" t="s">
        <v>176</v>
      </c>
      <c r="I447" s="1" t="s">
        <v>5451</v>
      </c>
      <c r="J447" s="17" t="s">
        <v>82</v>
      </c>
      <c r="K447" s="17" t="s">
        <v>83</v>
      </c>
      <c r="L447" s="17"/>
      <c r="M447" s="17"/>
      <c r="N447" s="52" t="s">
        <v>3956</v>
      </c>
      <c r="O447" s="17" t="s">
        <v>86</v>
      </c>
      <c r="P447" s="17" t="s">
        <v>86</v>
      </c>
      <c r="Q447" s="81" t="s">
        <v>5452</v>
      </c>
      <c r="R447" s="11">
        <v>26.565757000000001</v>
      </c>
      <c r="S447" s="11">
        <v>-81.593016000000006</v>
      </c>
      <c r="T447" s="11" t="s">
        <v>5453</v>
      </c>
      <c r="U447" s="11" t="s">
        <v>5454</v>
      </c>
      <c r="V447" s="17" t="s">
        <v>5455</v>
      </c>
      <c r="W447" s="17" t="s">
        <v>5456</v>
      </c>
      <c r="X447" s="70">
        <v>51</v>
      </c>
      <c r="Y447" s="70">
        <v>31</v>
      </c>
      <c r="Z447" s="13">
        <v>25805</v>
      </c>
      <c r="AA447" s="13">
        <v>25806</v>
      </c>
      <c r="AB447" s="13"/>
      <c r="AC447" s="13">
        <v>25867</v>
      </c>
      <c r="AD447" s="86">
        <v>11711</v>
      </c>
      <c r="AE447" s="86">
        <v>12520</v>
      </c>
      <c r="AF447" s="70" t="s">
        <v>5457</v>
      </c>
      <c r="AG447" s="17" t="s">
        <v>5458</v>
      </c>
      <c r="AH447" s="17" t="s">
        <v>5177</v>
      </c>
      <c r="AI447" s="70" t="s">
        <v>94</v>
      </c>
      <c r="AJ447" s="17" t="s">
        <v>94</v>
      </c>
      <c r="AK447" s="17" t="s">
        <v>95</v>
      </c>
      <c r="AL447" s="17" t="s">
        <v>5459</v>
      </c>
      <c r="AM447" s="17" t="s">
        <v>825</v>
      </c>
      <c r="AN447" s="17" t="s">
        <v>86</v>
      </c>
      <c r="AO447" s="17" t="s">
        <v>98</v>
      </c>
      <c r="AP447" s="17" t="s">
        <v>98</v>
      </c>
      <c r="AQ447" s="17" t="s">
        <v>98</v>
      </c>
      <c r="AR447" s="17" t="s">
        <v>94</v>
      </c>
      <c r="AS447" s="17" t="s">
        <v>5460</v>
      </c>
      <c r="AT447" s="17"/>
      <c r="AU447" s="30" t="s">
        <v>5461</v>
      </c>
      <c r="AV447" s="14">
        <v>10629</v>
      </c>
      <c r="AW447" s="74"/>
      <c r="AX447" s="1" t="s">
        <v>5462</v>
      </c>
      <c r="AY447" s="17" t="s">
        <v>101</v>
      </c>
    </row>
    <row r="448" spans="1:51" ht="12.75" customHeight="1" x14ac:dyDescent="0.25">
      <c r="A448" s="5">
        <v>440</v>
      </c>
      <c r="B448" s="9">
        <v>440</v>
      </c>
      <c r="C448" s="9" t="s">
        <v>5463</v>
      </c>
      <c r="D448" s="57" t="str">
        <f>HYPERLINK("http://prodenv.dep.state.fl.us/DepNexus/public/electronic-documents/OG_440/facility!search","OG_440_Docs")</f>
        <v>OG_440_Docs</v>
      </c>
      <c r="E448" s="57" t="str">
        <f>HYPERLINK("https://ca.dep.state.fl.us/mapdirect/?focus=oilandgas&amp;zoom=query&amp;querytype=oilandgas&amp;queryvalues=OG_440","OG_440_Map")</f>
        <v>OG_440_Map</v>
      </c>
      <c r="F448" s="1" t="s">
        <v>1682</v>
      </c>
      <c r="G448" s="1" t="s">
        <v>79</v>
      </c>
      <c r="H448" s="1" t="s">
        <v>5464</v>
      </c>
      <c r="I448" s="1" t="s">
        <v>5465</v>
      </c>
      <c r="J448" s="17" t="s">
        <v>82</v>
      </c>
      <c r="K448" s="17" t="s">
        <v>83</v>
      </c>
      <c r="L448" s="17"/>
      <c r="M448" s="17"/>
      <c r="N448" s="52" t="s">
        <v>4802</v>
      </c>
      <c r="O448" s="17" t="s">
        <v>86</v>
      </c>
      <c r="P448" s="17" t="s">
        <v>86</v>
      </c>
      <c r="Q448" s="81" t="s">
        <v>5466</v>
      </c>
      <c r="R448" s="11">
        <v>30.977495000000001</v>
      </c>
      <c r="S448" s="11">
        <v>-87.516540000000006</v>
      </c>
      <c r="T448" s="11" t="s">
        <v>5467</v>
      </c>
      <c r="U448" s="11" t="s">
        <v>5468</v>
      </c>
      <c r="V448" s="17" t="s">
        <v>5469</v>
      </c>
      <c r="W448" s="17" t="s">
        <v>110</v>
      </c>
      <c r="X448" s="70">
        <v>301</v>
      </c>
      <c r="Y448" s="70"/>
      <c r="Z448" s="13">
        <v>25812</v>
      </c>
      <c r="AA448" s="13">
        <v>25840</v>
      </c>
      <c r="AB448" s="13"/>
      <c r="AC448" s="13">
        <v>25915</v>
      </c>
      <c r="AD448" s="86">
        <v>15942</v>
      </c>
      <c r="AE448" s="86">
        <v>15942</v>
      </c>
      <c r="AF448" s="70" t="s">
        <v>1650</v>
      </c>
      <c r="AG448" s="17" t="s">
        <v>5470</v>
      </c>
      <c r="AH448" s="17" t="s">
        <v>94</v>
      </c>
      <c r="AI448" s="70" t="s">
        <v>94</v>
      </c>
      <c r="AJ448" s="17" t="s">
        <v>94</v>
      </c>
      <c r="AK448" s="17" t="s">
        <v>825</v>
      </c>
      <c r="AL448" s="17" t="s">
        <v>825</v>
      </c>
      <c r="AM448" s="17" t="s">
        <v>825</v>
      </c>
      <c r="AN448" s="17" t="s">
        <v>94</v>
      </c>
      <c r="AO448" s="17" t="s">
        <v>98</v>
      </c>
      <c r="AP448" s="17" t="s">
        <v>98</v>
      </c>
      <c r="AQ448" s="17" t="s">
        <v>98</v>
      </c>
      <c r="AR448" s="17" t="s">
        <v>94</v>
      </c>
      <c r="AS448" s="17" t="s">
        <v>5471</v>
      </c>
      <c r="AT448" s="17"/>
      <c r="AU448" s="30" t="s">
        <v>5472</v>
      </c>
      <c r="AV448" s="14" t="s">
        <v>94</v>
      </c>
      <c r="AW448" s="74"/>
      <c r="AX448" s="1"/>
      <c r="AY448" s="17" t="s">
        <v>101</v>
      </c>
    </row>
    <row r="449" spans="1:51" ht="12.75" customHeight="1" x14ac:dyDescent="0.25">
      <c r="A449" s="5">
        <v>441</v>
      </c>
      <c r="B449" s="9">
        <v>441</v>
      </c>
      <c r="C449" s="9" t="s">
        <v>5473</v>
      </c>
      <c r="D449" s="57" t="str">
        <f>HYPERLINK("http://prodenv.dep.state.fl.us/DepNexus/public/electronic-documents/OG_441/facility!search","OG_441_Docs")</f>
        <v>OG_441_Docs</v>
      </c>
      <c r="E449" s="57" t="str">
        <f>HYPERLINK("https://ca.dep.state.fl.us/mapdirect/?focus=oilandgas&amp;zoom=query&amp;querytype=oilandgas&amp;queryvalues=OG_441","OG_441_Map")</f>
        <v>OG_441_Map</v>
      </c>
      <c r="F449" s="1" t="s">
        <v>2744</v>
      </c>
      <c r="G449" s="1" t="s">
        <v>79</v>
      </c>
      <c r="H449" s="1" t="s">
        <v>5474</v>
      </c>
      <c r="I449" s="1" t="s">
        <v>5475</v>
      </c>
      <c r="J449" s="17" t="s">
        <v>82</v>
      </c>
      <c r="K449" s="17" t="s">
        <v>83</v>
      </c>
      <c r="L449" s="17"/>
      <c r="M449" s="17" t="s">
        <v>101</v>
      </c>
      <c r="N449" s="52" t="s">
        <v>5476</v>
      </c>
      <c r="O449" s="17" t="s">
        <v>86</v>
      </c>
      <c r="P449" s="17" t="s">
        <v>86</v>
      </c>
      <c r="Q449" s="81" t="s">
        <v>5477</v>
      </c>
      <c r="R449" s="11">
        <v>28.479892</v>
      </c>
      <c r="S449" s="11">
        <v>-81.038977000000003</v>
      </c>
      <c r="T449" s="11" t="s">
        <v>5478</v>
      </c>
      <c r="U449" s="11" t="s">
        <v>5479</v>
      </c>
      <c r="V449" s="17" t="s">
        <v>5480</v>
      </c>
      <c r="W449" s="17" t="s">
        <v>110</v>
      </c>
      <c r="X449" s="70">
        <v>79</v>
      </c>
      <c r="Y449" s="70">
        <v>70</v>
      </c>
      <c r="Z449" s="13">
        <v>25812</v>
      </c>
      <c r="AA449" s="13">
        <v>25848</v>
      </c>
      <c r="AB449" s="13">
        <v>25900</v>
      </c>
      <c r="AC449" s="13">
        <v>25900</v>
      </c>
      <c r="AD449" s="86">
        <v>7119</v>
      </c>
      <c r="AE449" s="86">
        <v>7119</v>
      </c>
      <c r="AF449" s="70" t="s">
        <v>5481</v>
      </c>
      <c r="AG449" s="17" t="s">
        <v>5482</v>
      </c>
      <c r="AH449" s="17" t="s">
        <v>5483</v>
      </c>
      <c r="AI449" s="70" t="s">
        <v>94</v>
      </c>
      <c r="AJ449" s="17" t="s">
        <v>94</v>
      </c>
      <c r="AK449" s="17" t="s">
        <v>95</v>
      </c>
      <c r="AL449" s="17" t="s">
        <v>5484</v>
      </c>
      <c r="AM449" s="17" t="s">
        <v>94</v>
      </c>
      <c r="AN449" s="17" t="s">
        <v>94</v>
      </c>
      <c r="AO449" s="17" t="s">
        <v>98</v>
      </c>
      <c r="AP449" s="17" t="s">
        <v>98</v>
      </c>
      <c r="AQ449" s="17" t="s">
        <v>98</v>
      </c>
      <c r="AR449" s="17" t="s">
        <v>94</v>
      </c>
      <c r="AS449" s="17" t="s">
        <v>5485</v>
      </c>
      <c r="AT449" s="17">
        <v>121</v>
      </c>
      <c r="AU449" s="30" t="s">
        <v>5486</v>
      </c>
      <c r="AV449" s="14">
        <v>10778</v>
      </c>
      <c r="AW449" s="74"/>
      <c r="AX449" s="1"/>
      <c r="AY449" s="17" t="s">
        <v>101</v>
      </c>
    </row>
    <row r="450" spans="1:51" ht="12.75" customHeight="1" x14ac:dyDescent="0.25">
      <c r="A450" s="5">
        <v>442</v>
      </c>
      <c r="B450" s="9" t="s">
        <v>5487</v>
      </c>
      <c r="C450" s="9" t="s">
        <v>5488</v>
      </c>
      <c r="D450" s="57" t="str">
        <f>HYPERLINK("http://prodenv.dep.state.fl.us/DepNexus/public/electronic-documents/OG_442/facility!search","OG_442_Docs")</f>
        <v>OG_442_Docs</v>
      </c>
      <c r="E450" s="57" t="str">
        <f>HYPERLINK("https://ca.dep.state.fl.us/mapdirect/?focus=oilandgas&amp;zoom=query&amp;querytype=oilandgas&amp;queryvalues=OG_442","OG_442_Map")</f>
        <v>OG_442_Map</v>
      </c>
      <c r="F450" s="1" t="s">
        <v>1752</v>
      </c>
      <c r="G450" s="1" t="s">
        <v>4496</v>
      </c>
      <c r="H450" s="1" t="s">
        <v>1363</v>
      </c>
      <c r="I450" s="1" t="s">
        <v>5489</v>
      </c>
      <c r="J450" s="17" t="s">
        <v>1365</v>
      </c>
      <c r="K450" s="17" t="s">
        <v>269</v>
      </c>
      <c r="L450" s="17"/>
      <c r="M450" s="17"/>
      <c r="N450" s="52" t="s">
        <v>3956</v>
      </c>
      <c r="O450" s="17" t="s">
        <v>86</v>
      </c>
      <c r="P450" s="17" t="s">
        <v>86</v>
      </c>
      <c r="Q450" s="81" t="s">
        <v>5490</v>
      </c>
      <c r="R450" s="11">
        <v>26.537312</v>
      </c>
      <c r="S450" s="11">
        <v>-81.526814000000002</v>
      </c>
      <c r="T450" s="11" t="s">
        <v>5491</v>
      </c>
      <c r="U450" s="11" t="s">
        <v>5492</v>
      </c>
      <c r="V450" s="17" t="s">
        <v>5493</v>
      </c>
      <c r="W450" s="17" t="s">
        <v>110</v>
      </c>
      <c r="X450" s="70">
        <v>48</v>
      </c>
      <c r="Y450" s="70">
        <v>30</v>
      </c>
      <c r="Z450" s="13">
        <v>25812</v>
      </c>
      <c r="AA450" s="13">
        <v>25841</v>
      </c>
      <c r="AB450" s="13">
        <v>25963</v>
      </c>
      <c r="AC450" s="13"/>
      <c r="AD450" s="86">
        <v>11590</v>
      </c>
      <c r="AE450" s="86">
        <v>11590</v>
      </c>
      <c r="AF450" s="70" t="s">
        <v>5494</v>
      </c>
      <c r="AG450" s="17" t="s">
        <v>5495</v>
      </c>
      <c r="AH450" s="17" t="s">
        <v>5496</v>
      </c>
      <c r="AI450" s="70" t="s">
        <v>5497</v>
      </c>
      <c r="AJ450" s="17" t="s">
        <v>5498</v>
      </c>
      <c r="AK450" s="17" t="s">
        <v>94</v>
      </c>
      <c r="AL450" s="17" t="s">
        <v>5499</v>
      </c>
      <c r="AM450" s="17" t="s">
        <v>825</v>
      </c>
      <c r="AN450" s="17" t="s">
        <v>86</v>
      </c>
      <c r="AO450" s="17" t="s">
        <v>5500</v>
      </c>
      <c r="AP450" s="17" t="s">
        <v>5501</v>
      </c>
      <c r="AQ450" s="17" t="s">
        <v>5502</v>
      </c>
      <c r="AR450" s="17" t="s">
        <v>5503</v>
      </c>
      <c r="AS450" s="17" t="s">
        <v>5504</v>
      </c>
      <c r="AT450" s="17"/>
      <c r="AU450" s="30" t="s">
        <v>5505</v>
      </c>
      <c r="AV450" s="14">
        <v>10767</v>
      </c>
      <c r="AW450" s="74">
        <v>314422</v>
      </c>
      <c r="AX450" s="1" t="s">
        <v>5506</v>
      </c>
      <c r="AY450" s="17" t="s">
        <v>101</v>
      </c>
    </row>
    <row r="451" spans="1:51" ht="12.75" customHeight="1" x14ac:dyDescent="0.25">
      <c r="A451" s="5">
        <v>443</v>
      </c>
      <c r="B451" s="9">
        <v>443</v>
      </c>
      <c r="C451" s="9" t="s">
        <v>5507</v>
      </c>
      <c r="D451" s="57" t="str">
        <f>HYPERLINK("http://prodenv.dep.state.fl.us/DepNexus/public/electronic-documents/OG_443/facility!search","OG_443_Docs")</f>
        <v>OG_443_Docs</v>
      </c>
      <c r="E451" s="57" t="str">
        <f>HYPERLINK("https://ca.dep.state.fl.us/mapdirect/?focus=oilandgas&amp;zoom=query&amp;querytype=oilandgas&amp;queryvalues=OG_443","OG_443_Map")</f>
        <v>OG_443_Map</v>
      </c>
      <c r="F451" s="1" t="s">
        <v>1797</v>
      </c>
      <c r="G451" s="1" t="s">
        <v>5133</v>
      </c>
      <c r="H451" s="1" t="s">
        <v>1363</v>
      </c>
      <c r="I451" s="1" t="s">
        <v>5508</v>
      </c>
      <c r="J451" s="17" t="s">
        <v>3646</v>
      </c>
      <c r="K451" s="17" t="s">
        <v>412</v>
      </c>
      <c r="L451" s="17"/>
      <c r="M451" s="17"/>
      <c r="N451" s="52" t="s">
        <v>5509</v>
      </c>
      <c r="O451" s="17" t="s">
        <v>86</v>
      </c>
      <c r="P451" s="17" t="s">
        <v>86</v>
      </c>
      <c r="Q451" s="81" t="s">
        <v>5510</v>
      </c>
      <c r="R451" s="11">
        <v>30.978389</v>
      </c>
      <c r="S451" s="11">
        <v>-87.167653000000001</v>
      </c>
      <c r="T451" s="11" t="s">
        <v>5511</v>
      </c>
      <c r="U451" s="11" t="s">
        <v>5512</v>
      </c>
      <c r="V451" s="17" t="s">
        <v>5513</v>
      </c>
      <c r="W451" s="17" t="s">
        <v>110</v>
      </c>
      <c r="X451" s="70">
        <v>187</v>
      </c>
      <c r="Y451" s="70">
        <v>149.4</v>
      </c>
      <c r="Z451" s="13">
        <v>25812</v>
      </c>
      <c r="AA451" s="13">
        <v>25830</v>
      </c>
      <c r="AB451" s="13">
        <v>26410</v>
      </c>
      <c r="AC451" s="13"/>
      <c r="AD451" s="86">
        <v>15702</v>
      </c>
      <c r="AE451" s="86">
        <v>15702</v>
      </c>
      <c r="AF451" s="70" t="s">
        <v>1185</v>
      </c>
      <c r="AG451" s="17" t="s">
        <v>5514</v>
      </c>
      <c r="AH451" s="17" t="s">
        <v>94</v>
      </c>
      <c r="AI451" s="70" t="s">
        <v>5515</v>
      </c>
      <c r="AJ451" s="17" t="s">
        <v>5516</v>
      </c>
      <c r="AK451" s="17" t="s">
        <v>95</v>
      </c>
      <c r="AL451" s="17" t="s">
        <v>5517</v>
      </c>
      <c r="AM451" s="17" t="s">
        <v>95</v>
      </c>
      <c r="AN451" s="17" t="s">
        <v>86</v>
      </c>
      <c r="AO451" s="17" t="s">
        <v>5518</v>
      </c>
      <c r="AP451" s="17" t="s">
        <v>5519</v>
      </c>
      <c r="AQ451" s="17" t="s">
        <v>5520</v>
      </c>
      <c r="AR451" s="17" t="s">
        <v>5521</v>
      </c>
      <c r="AS451" s="17"/>
      <c r="AT451" s="17">
        <v>249</v>
      </c>
      <c r="AU451" s="30" t="s">
        <v>5522</v>
      </c>
      <c r="AV451" s="14">
        <v>10709</v>
      </c>
      <c r="AW451" s="74">
        <v>309842</v>
      </c>
      <c r="AX451" s="1"/>
      <c r="AY451" s="17" t="s">
        <v>101</v>
      </c>
    </row>
    <row r="452" spans="1:51" ht="15" customHeight="1" x14ac:dyDescent="0.25">
      <c r="A452" s="5">
        <v>444</v>
      </c>
      <c r="B452" s="9">
        <v>444</v>
      </c>
      <c r="C452" s="9" t="s">
        <v>5523</v>
      </c>
      <c r="D452" s="57" t="str">
        <f>HYPERLINK("http://prodenv.dep.state.fl.us/DepNexus/public/electronic-documents/OG_444/facility!search","OG_444_Docs")</f>
        <v>OG_444_Docs</v>
      </c>
      <c r="E452" s="57" t="str">
        <f>HYPERLINK("https://ca.dep.state.fl.us/mapdirect/?focus=oilandgas&amp;zoom=query&amp;querytype=oilandgas&amp;queryvalues=OG_444","OG_444_Map")</f>
        <v>OG_444_Map</v>
      </c>
      <c r="F452" s="1" t="s">
        <v>1797</v>
      </c>
      <c r="G452" s="1" t="s">
        <v>5133</v>
      </c>
      <c r="H452" s="1" t="s">
        <v>1363</v>
      </c>
      <c r="I452" s="1" t="s">
        <v>5524</v>
      </c>
      <c r="J452" s="17" t="s">
        <v>1476</v>
      </c>
      <c r="K452" s="17" t="s">
        <v>5525</v>
      </c>
      <c r="L452" s="17"/>
      <c r="M452" s="17"/>
      <c r="N452" s="52" t="s">
        <v>5526</v>
      </c>
      <c r="O452" s="17" t="s">
        <v>86</v>
      </c>
      <c r="P452" s="17" t="s">
        <v>86</v>
      </c>
      <c r="Q452" s="81" t="s">
        <v>5527</v>
      </c>
      <c r="R452" s="11">
        <v>30.957007000000001</v>
      </c>
      <c r="S452" s="11">
        <v>-87.184241999999998</v>
      </c>
      <c r="T452" s="11" t="s">
        <v>5528</v>
      </c>
      <c r="U452" s="11" t="s">
        <v>5529</v>
      </c>
      <c r="V452" s="17" t="s">
        <v>5530</v>
      </c>
      <c r="W452" s="17" t="s">
        <v>110</v>
      </c>
      <c r="X452" s="70">
        <v>213.2</v>
      </c>
      <c r="Y452" s="70">
        <v>188.2</v>
      </c>
      <c r="Z452" s="13">
        <v>25812</v>
      </c>
      <c r="AA452" s="13">
        <v>25831</v>
      </c>
      <c r="AB452" s="13">
        <v>26293</v>
      </c>
      <c r="AC452" s="13">
        <v>44587</v>
      </c>
      <c r="AD452" s="86">
        <v>15936</v>
      </c>
      <c r="AE452" s="86">
        <v>15936</v>
      </c>
      <c r="AF452" s="70" t="s">
        <v>1185</v>
      </c>
      <c r="AG452" s="23" t="s">
        <v>5531</v>
      </c>
      <c r="AH452" s="17" t="s">
        <v>94</v>
      </c>
      <c r="AI452" s="70" t="s">
        <v>5532</v>
      </c>
      <c r="AJ452" s="17" t="s">
        <v>5533</v>
      </c>
      <c r="AK452" s="17" t="s">
        <v>95</v>
      </c>
      <c r="AL452" s="17" t="s">
        <v>5534</v>
      </c>
      <c r="AM452" s="17" t="s">
        <v>95</v>
      </c>
      <c r="AN452" s="17" t="s">
        <v>86</v>
      </c>
      <c r="AO452" s="17" t="s">
        <v>5535</v>
      </c>
      <c r="AP452" s="17" t="s">
        <v>5536</v>
      </c>
      <c r="AQ452" s="17" t="s">
        <v>3512</v>
      </c>
      <c r="AR452" s="17" t="s">
        <v>5537</v>
      </c>
      <c r="AS452" s="17" t="s">
        <v>5538</v>
      </c>
      <c r="AT452" s="17"/>
      <c r="AU452" s="30" t="s">
        <v>5539</v>
      </c>
      <c r="AV452" s="14">
        <v>10762</v>
      </c>
      <c r="AW452" s="74">
        <v>309837</v>
      </c>
      <c r="AX452" s="1"/>
      <c r="AY452" s="17" t="s">
        <v>101</v>
      </c>
    </row>
    <row r="453" spans="1:51" ht="15" customHeight="1" x14ac:dyDescent="0.25">
      <c r="A453" s="5">
        <v>445</v>
      </c>
      <c r="B453" s="9">
        <v>445</v>
      </c>
      <c r="C453" s="9" t="s">
        <v>5540</v>
      </c>
      <c r="D453" s="57" t="str">
        <f>HYPERLINK("http://prodenv.dep.state.fl.us/DepNexus/public/electronic-documents/OG_445/facility!search","OG_445_Docs")</f>
        <v>OG_445_Docs</v>
      </c>
      <c r="E453" s="57" t="str">
        <f>HYPERLINK("https://ca.dep.state.fl.us/mapdirect/?focus=oilandgas&amp;zoom=query&amp;querytype=oilandgas&amp;queryvalues=OG_445","OG_445_Map")</f>
        <v>OG_445_Map</v>
      </c>
      <c r="F453" s="1" t="s">
        <v>2026</v>
      </c>
      <c r="G453" s="1" t="s">
        <v>4496</v>
      </c>
      <c r="H453" s="1" t="s">
        <v>176</v>
      </c>
      <c r="I453" s="1" t="s">
        <v>5541</v>
      </c>
      <c r="J453" s="17" t="s">
        <v>207</v>
      </c>
      <c r="K453" s="17" t="s">
        <v>208</v>
      </c>
      <c r="L453" s="17"/>
      <c r="M453" s="17" t="s">
        <v>207</v>
      </c>
      <c r="N453" s="52" t="s">
        <v>86</v>
      </c>
      <c r="O453" s="17" t="s">
        <v>86</v>
      </c>
      <c r="P453" s="17" t="s">
        <v>86</v>
      </c>
      <c r="Q453" s="81" t="s">
        <v>5542</v>
      </c>
      <c r="R453" s="11">
        <v>26.545376000000001</v>
      </c>
      <c r="S453" s="11">
        <v>-81.605964</v>
      </c>
      <c r="T453" s="11" t="s">
        <v>5543</v>
      </c>
      <c r="U453" s="11" t="s">
        <v>5544</v>
      </c>
      <c r="V453" s="17" t="s">
        <v>5545</v>
      </c>
      <c r="W453" s="17" t="s">
        <v>110</v>
      </c>
      <c r="X453" s="70"/>
      <c r="Y453" s="70"/>
      <c r="Z453" s="13">
        <v>25826</v>
      </c>
      <c r="AA453" s="13"/>
      <c r="AB453" s="13"/>
      <c r="AC453" s="13"/>
      <c r="AD453" s="86"/>
      <c r="AE453" s="70"/>
      <c r="AF453" s="70" t="s">
        <v>207</v>
      </c>
      <c r="AG453" s="14" t="s">
        <v>207</v>
      </c>
      <c r="AH453" s="14" t="s">
        <v>207</v>
      </c>
      <c r="AI453" s="70" t="s">
        <v>207</v>
      </c>
      <c r="AJ453" s="14" t="s">
        <v>207</v>
      </c>
      <c r="AK453" s="14" t="s">
        <v>207</v>
      </c>
      <c r="AL453" s="14" t="s">
        <v>207</v>
      </c>
      <c r="AM453" s="14" t="s">
        <v>207</v>
      </c>
      <c r="AN453" s="14" t="s">
        <v>207</v>
      </c>
      <c r="AO453" s="14" t="s">
        <v>207</v>
      </c>
      <c r="AP453" s="14" t="s">
        <v>207</v>
      </c>
      <c r="AQ453" s="14" t="s">
        <v>207</v>
      </c>
      <c r="AR453" s="14" t="s">
        <v>207</v>
      </c>
      <c r="AS453" s="14" t="s">
        <v>207</v>
      </c>
      <c r="AT453" s="14" t="s">
        <v>207</v>
      </c>
      <c r="AU453" s="30" t="s">
        <v>5546</v>
      </c>
      <c r="AV453" s="14" t="s">
        <v>207</v>
      </c>
      <c r="AW453" s="74"/>
      <c r="AX453" s="1"/>
      <c r="AY453" s="17" t="s">
        <v>101</v>
      </c>
    </row>
    <row r="454" spans="1:51" ht="12.75" customHeight="1" x14ac:dyDescent="0.25">
      <c r="A454" s="5">
        <v>446</v>
      </c>
      <c r="B454" s="9">
        <v>446</v>
      </c>
      <c r="C454" s="9" t="s">
        <v>5547</v>
      </c>
      <c r="D454" s="57" t="str">
        <f>HYPERLINK("http://prodenv.dep.state.fl.us/DepNexus/public/electronic-documents/OG_446/facility!search","OG_446_Docs")</f>
        <v>OG_446_Docs</v>
      </c>
      <c r="E454" s="57" t="str">
        <f>HYPERLINK("https://ca.dep.state.fl.us/mapdirect/?focus=oilandgas&amp;zoom=query&amp;querytype=oilandgas&amp;queryvalues=OG_446","OG_446_Map")</f>
        <v>OG_446_Map</v>
      </c>
      <c r="F454" s="1" t="s">
        <v>2026</v>
      </c>
      <c r="G454" s="1" t="s">
        <v>4496</v>
      </c>
      <c r="H454" s="1" t="s">
        <v>176</v>
      </c>
      <c r="I454" s="1" t="s">
        <v>5548</v>
      </c>
      <c r="J454" s="17" t="s">
        <v>207</v>
      </c>
      <c r="K454" s="17" t="s">
        <v>208</v>
      </c>
      <c r="L454" s="17"/>
      <c r="M454" s="17" t="s">
        <v>207</v>
      </c>
      <c r="N454" s="52" t="s">
        <v>86</v>
      </c>
      <c r="O454" s="17" t="s">
        <v>86</v>
      </c>
      <c r="P454" s="17" t="s">
        <v>86</v>
      </c>
      <c r="Q454" s="81" t="s">
        <v>5549</v>
      </c>
      <c r="R454" s="11">
        <v>26.545408999999999</v>
      </c>
      <c r="S454" s="11">
        <v>-81.605885999999998</v>
      </c>
      <c r="T454" s="11" t="s">
        <v>5550</v>
      </c>
      <c r="U454" s="11" t="s">
        <v>5551</v>
      </c>
      <c r="V454" s="17" t="s">
        <v>5552</v>
      </c>
      <c r="W454" s="17" t="s">
        <v>110</v>
      </c>
      <c r="X454" s="70"/>
      <c r="Y454" s="70"/>
      <c r="Z454" s="13">
        <v>25826</v>
      </c>
      <c r="AA454" s="13"/>
      <c r="AB454" s="13"/>
      <c r="AC454" s="13"/>
      <c r="AD454" s="86"/>
      <c r="AE454" s="70"/>
      <c r="AF454" s="70" t="s">
        <v>207</v>
      </c>
      <c r="AG454" s="14" t="s">
        <v>207</v>
      </c>
      <c r="AH454" s="14" t="s">
        <v>207</v>
      </c>
      <c r="AI454" s="70" t="s">
        <v>207</v>
      </c>
      <c r="AJ454" s="14" t="s">
        <v>207</v>
      </c>
      <c r="AK454" s="14" t="s">
        <v>207</v>
      </c>
      <c r="AL454" s="14" t="s">
        <v>207</v>
      </c>
      <c r="AM454" s="14" t="s">
        <v>207</v>
      </c>
      <c r="AN454" s="14" t="s">
        <v>207</v>
      </c>
      <c r="AO454" s="14" t="s">
        <v>207</v>
      </c>
      <c r="AP454" s="14" t="s">
        <v>207</v>
      </c>
      <c r="AQ454" s="14" t="s">
        <v>207</v>
      </c>
      <c r="AR454" s="14" t="s">
        <v>207</v>
      </c>
      <c r="AS454" s="14" t="s">
        <v>207</v>
      </c>
      <c r="AT454" s="14" t="s">
        <v>207</v>
      </c>
      <c r="AU454" s="30" t="s">
        <v>5553</v>
      </c>
      <c r="AV454" s="14" t="s">
        <v>207</v>
      </c>
      <c r="AW454" s="74"/>
      <c r="AX454" s="1"/>
      <c r="AY454" s="17" t="s">
        <v>101</v>
      </c>
    </row>
    <row r="455" spans="1:51" ht="12.75" customHeight="1" x14ac:dyDescent="0.25">
      <c r="A455" s="5">
        <v>447</v>
      </c>
      <c r="B455" s="9">
        <v>447</v>
      </c>
      <c r="C455" s="9" t="s">
        <v>5554</v>
      </c>
      <c r="D455" s="57" t="str">
        <f>HYPERLINK("http://prodenv.dep.state.fl.us/DepNexus/public/electronic-documents/OG_447/facility!search","OG_447_Docs")</f>
        <v>OG_447_Docs</v>
      </c>
      <c r="E455" s="57" t="str">
        <f>HYPERLINK("https://ca.dep.state.fl.us/mapdirect/?focus=oilandgas&amp;zoom=query&amp;querytype=oilandgas&amp;queryvalues=OG_447","OG_447_Map")</f>
        <v>OG_447_Map</v>
      </c>
      <c r="F455" s="1" t="s">
        <v>2026</v>
      </c>
      <c r="G455" s="1" t="s">
        <v>4496</v>
      </c>
      <c r="H455" s="1" t="s">
        <v>176</v>
      </c>
      <c r="I455" s="1" t="s">
        <v>5555</v>
      </c>
      <c r="J455" s="17" t="s">
        <v>268</v>
      </c>
      <c r="K455" s="17" t="s">
        <v>412</v>
      </c>
      <c r="L455" s="17"/>
      <c r="M455" s="17"/>
      <c r="N455" s="52" t="s">
        <v>3956</v>
      </c>
      <c r="O455" s="17" t="s">
        <v>86</v>
      </c>
      <c r="P455" s="17" t="s">
        <v>86</v>
      </c>
      <c r="Q455" s="81" t="s">
        <v>5556</v>
      </c>
      <c r="R455" s="11">
        <v>26.565729999999999</v>
      </c>
      <c r="S455" s="11">
        <v>-81.593017000000003</v>
      </c>
      <c r="T455" s="11" t="s">
        <v>5557</v>
      </c>
      <c r="U455" s="11" t="s">
        <v>5558</v>
      </c>
      <c r="V455" s="17" t="s">
        <v>5559</v>
      </c>
      <c r="W455" s="17" t="s">
        <v>5560</v>
      </c>
      <c r="X455" s="70">
        <v>51</v>
      </c>
      <c r="Y455" s="70">
        <v>31</v>
      </c>
      <c r="Z455" s="13">
        <v>25833</v>
      </c>
      <c r="AA455" s="13">
        <v>25867</v>
      </c>
      <c r="AB455" s="13">
        <v>25922</v>
      </c>
      <c r="AC455" s="13">
        <v>32421</v>
      </c>
      <c r="AD455" s="86">
        <v>11748</v>
      </c>
      <c r="AE455" s="86">
        <v>12400</v>
      </c>
      <c r="AF455" s="70" t="s">
        <v>5457</v>
      </c>
      <c r="AG455" s="17" t="s">
        <v>5458</v>
      </c>
      <c r="AH455" s="17" t="s">
        <v>5177</v>
      </c>
      <c r="AI455" s="70" t="s">
        <v>5561</v>
      </c>
      <c r="AJ455" s="17" t="s">
        <v>5562</v>
      </c>
      <c r="AK455" s="17" t="s">
        <v>95</v>
      </c>
      <c r="AL455" s="17" t="s">
        <v>5563</v>
      </c>
      <c r="AM455" s="17" t="s">
        <v>825</v>
      </c>
      <c r="AN455" s="17" t="s">
        <v>86</v>
      </c>
      <c r="AO455" s="17" t="s">
        <v>5076</v>
      </c>
      <c r="AP455" s="17" t="s">
        <v>4176</v>
      </c>
      <c r="AQ455" s="17" t="s">
        <v>5564</v>
      </c>
      <c r="AR455" s="17" t="s">
        <v>5565</v>
      </c>
      <c r="AS455" s="17" t="s">
        <v>5566</v>
      </c>
      <c r="AT455" s="17"/>
      <c r="AU455" s="30" t="s">
        <v>5567</v>
      </c>
      <c r="AV455" s="14">
        <v>10712</v>
      </c>
      <c r="AW455" s="74"/>
      <c r="AX455" s="1" t="s">
        <v>5568</v>
      </c>
      <c r="AY455" s="17" t="s">
        <v>101</v>
      </c>
    </row>
    <row r="456" spans="1:51" ht="15" customHeight="1" x14ac:dyDescent="0.25">
      <c r="A456" s="5">
        <v>448</v>
      </c>
      <c r="B456" s="9">
        <v>448</v>
      </c>
      <c r="C456" s="9" t="s">
        <v>5569</v>
      </c>
      <c r="D456" s="57" t="str">
        <f>HYPERLINK("http://prodenv.dep.state.fl.us/DepNexus/public/electronic-documents/OG_448/facility!search","OG_448_Docs")</f>
        <v>OG_448_Docs</v>
      </c>
      <c r="E456" s="57" t="str">
        <f>HYPERLINK("https://ca.dep.state.fl.us/mapdirect/?focus=oilandgas&amp;zoom=query&amp;querytype=oilandgas&amp;queryvalues=OG_448","OG_448_Map")</f>
        <v>OG_448_Map</v>
      </c>
      <c r="F456" s="1" t="s">
        <v>5570</v>
      </c>
      <c r="G456" s="1" t="s">
        <v>79</v>
      </c>
      <c r="H456" s="1" t="s">
        <v>3145</v>
      </c>
      <c r="I456" s="1" t="s">
        <v>5571</v>
      </c>
      <c r="J456" s="17" t="s">
        <v>207</v>
      </c>
      <c r="K456" s="17" t="s">
        <v>208</v>
      </c>
      <c r="L456" s="17"/>
      <c r="M456" s="17" t="s">
        <v>207</v>
      </c>
      <c r="N456" s="52" t="s">
        <v>86</v>
      </c>
      <c r="O456" s="17" t="s">
        <v>86</v>
      </c>
      <c r="P456" s="17" t="s">
        <v>86</v>
      </c>
      <c r="Q456" s="81" t="s">
        <v>5572</v>
      </c>
      <c r="R456" s="11">
        <v>30.785762999999999</v>
      </c>
      <c r="S456" s="11">
        <v>-81.909980000000004</v>
      </c>
      <c r="T456" s="11" t="s">
        <v>5573</v>
      </c>
      <c r="U456" s="11" t="s">
        <v>5574</v>
      </c>
      <c r="V456" s="17" t="s">
        <v>5575</v>
      </c>
      <c r="W456" s="17"/>
      <c r="X456" s="70"/>
      <c r="Y456" s="70"/>
      <c r="Z456" s="13">
        <v>25847</v>
      </c>
      <c r="AA456" s="13"/>
      <c r="AB456" s="13"/>
      <c r="AC456" s="13"/>
      <c r="AD456" s="86"/>
      <c r="AE456" s="86"/>
      <c r="AF456" s="70" t="s">
        <v>207</v>
      </c>
      <c r="AG456" s="17" t="s">
        <v>207</v>
      </c>
      <c r="AH456" s="17" t="s">
        <v>207</v>
      </c>
      <c r="AI456" s="70" t="s">
        <v>207</v>
      </c>
      <c r="AJ456" s="17" t="s">
        <v>207</v>
      </c>
      <c r="AK456" s="17" t="s">
        <v>207</v>
      </c>
      <c r="AL456" s="17" t="s">
        <v>207</v>
      </c>
      <c r="AM456" s="17" t="s">
        <v>207</v>
      </c>
      <c r="AN456" s="17" t="s">
        <v>207</v>
      </c>
      <c r="AO456" s="17" t="s">
        <v>207</v>
      </c>
      <c r="AP456" s="17" t="s">
        <v>207</v>
      </c>
      <c r="AQ456" s="17" t="s">
        <v>207</v>
      </c>
      <c r="AR456" s="17" t="s">
        <v>207</v>
      </c>
      <c r="AS456" s="17" t="s">
        <v>207</v>
      </c>
      <c r="AT456" s="17" t="s">
        <v>207</v>
      </c>
      <c r="AU456" s="30" t="s">
        <v>5576</v>
      </c>
      <c r="AV456" s="14" t="s">
        <v>207</v>
      </c>
      <c r="AW456" s="74"/>
      <c r="AX456" s="1"/>
      <c r="AY456" s="17" t="s">
        <v>101</v>
      </c>
    </row>
    <row r="457" spans="1:51" ht="15" customHeight="1" x14ac:dyDescent="0.25">
      <c r="A457" s="5">
        <v>449</v>
      </c>
      <c r="B457" s="9">
        <v>449</v>
      </c>
      <c r="C457" s="9" t="s">
        <v>5577</v>
      </c>
      <c r="D457" s="57" t="str">
        <f>HYPERLINK("http://prodenv.dep.state.fl.us/DepNexus/public/electronic-documents/OG_449/facility!search","OG_449_Docs")</f>
        <v>OG_449_Docs</v>
      </c>
      <c r="E457" s="57" t="str">
        <f>HYPERLINK("https://ca.dep.state.fl.us/mapdirect/?focus=oilandgas&amp;zoom=query&amp;querytype=oilandgas&amp;queryvalues=OG_449","OG_449_Map")</f>
        <v>OG_449_Map</v>
      </c>
      <c r="F457" s="1" t="s">
        <v>5570</v>
      </c>
      <c r="G457" s="1" t="s">
        <v>79</v>
      </c>
      <c r="H457" s="1" t="s">
        <v>3145</v>
      </c>
      <c r="I457" s="1" t="s">
        <v>5578</v>
      </c>
      <c r="J457" s="17" t="s">
        <v>82</v>
      </c>
      <c r="K457" s="17" t="s">
        <v>83</v>
      </c>
      <c r="L457" s="17"/>
      <c r="M457" s="17" t="s">
        <v>84</v>
      </c>
      <c r="N457" s="52" t="s">
        <v>4548</v>
      </c>
      <c r="O457" s="17" t="s">
        <v>86</v>
      </c>
      <c r="P457" s="17" t="s">
        <v>86</v>
      </c>
      <c r="Q457" s="81" t="s">
        <v>5579</v>
      </c>
      <c r="R457" s="11">
        <v>30.668441000000001</v>
      </c>
      <c r="S457" s="11">
        <v>-81.635203000000004</v>
      </c>
      <c r="T457" s="11" t="s">
        <v>5580</v>
      </c>
      <c r="U457" s="11" t="s">
        <v>5581</v>
      </c>
      <c r="V457" s="17" t="s">
        <v>5582</v>
      </c>
      <c r="W457" s="17" t="s">
        <v>110</v>
      </c>
      <c r="X457" s="70">
        <v>34</v>
      </c>
      <c r="Y457" s="70">
        <v>23</v>
      </c>
      <c r="Z457" s="13">
        <v>25847</v>
      </c>
      <c r="AA457" s="13">
        <v>25867</v>
      </c>
      <c r="AB457" s="13">
        <v>25906</v>
      </c>
      <c r="AC457" s="13">
        <v>25906</v>
      </c>
      <c r="AD457" s="86">
        <v>5469</v>
      </c>
      <c r="AE457" s="86">
        <v>5469</v>
      </c>
      <c r="AF457" s="70" t="s">
        <v>5583</v>
      </c>
      <c r="AG457" s="17" t="s">
        <v>5584</v>
      </c>
      <c r="AH457" s="17" t="s">
        <v>5585</v>
      </c>
      <c r="AI457" s="70" t="s">
        <v>94</v>
      </c>
      <c r="AJ457" s="17" t="s">
        <v>94</v>
      </c>
      <c r="AK457" s="17" t="s">
        <v>95</v>
      </c>
      <c r="AL457" s="17" t="s">
        <v>5586</v>
      </c>
      <c r="AM457" s="17" t="s">
        <v>825</v>
      </c>
      <c r="AN457" s="17" t="s">
        <v>94</v>
      </c>
      <c r="AO457" s="17" t="s">
        <v>98</v>
      </c>
      <c r="AP457" s="17" t="s">
        <v>98</v>
      </c>
      <c r="AQ457" s="17" t="s">
        <v>98</v>
      </c>
      <c r="AR457" s="17" t="s">
        <v>94</v>
      </c>
      <c r="AS457" s="17" t="s">
        <v>5587</v>
      </c>
      <c r="AT457" s="17">
        <v>113</v>
      </c>
      <c r="AU457" s="30" t="s">
        <v>5588</v>
      </c>
      <c r="AV457" s="14">
        <v>10715</v>
      </c>
      <c r="AW457" s="74"/>
      <c r="AX457" s="1"/>
      <c r="AY457" s="17" t="s">
        <v>101</v>
      </c>
    </row>
    <row r="458" spans="1:51" ht="12.75" customHeight="1" x14ac:dyDescent="0.25">
      <c r="A458" s="5">
        <v>450</v>
      </c>
      <c r="B458" s="9">
        <v>450</v>
      </c>
      <c r="C458" s="9" t="s">
        <v>5589</v>
      </c>
      <c r="D458" s="57" t="str">
        <f>HYPERLINK("http://prodenv.dep.state.fl.us/DepNexus/public/electronic-documents/OG_450/facility!search","OG_450_Docs")</f>
        <v>OG_450_Docs</v>
      </c>
      <c r="E458" s="57" t="str">
        <f>HYPERLINK("https://ca.dep.state.fl.us/mapdirect/?focus=oilandgas&amp;zoom=query&amp;querytype=oilandgas&amp;queryvalues=OG_450","OG_450_Map")</f>
        <v>OG_450_Map</v>
      </c>
      <c r="F458" s="1" t="s">
        <v>1682</v>
      </c>
      <c r="G458" s="1" t="s">
        <v>5133</v>
      </c>
      <c r="H458" s="1" t="s">
        <v>1363</v>
      </c>
      <c r="I458" s="1" t="s">
        <v>5590</v>
      </c>
      <c r="J458" s="17" t="s">
        <v>3646</v>
      </c>
      <c r="K458" s="17" t="s">
        <v>412</v>
      </c>
      <c r="L458" s="17"/>
      <c r="M458" s="17"/>
      <c r="N458" s="52" t="s">
        <v>5591</v>
      </c>
      <c r="O458" s="17" t="s">
        <v>86</v>
      </c>
      <c r="P458" s="17" t="s">
        <v>86</v>
      </c>
      <c r="Q458" s="81" t="s">
        <v>5592</v>
      </c>
      <c r="R458" s="11">
        <v>30.993915999999999</v>
      </c>
      <c r="S458" s="11">
        <v>-87.184584999999998</v>
      </c>
      <c r="T458" s="11" t="s">
        <v>5593</v>
      </c>
      <c r="U458" s="11" t="s">
        <v>5594</v>
      </c>
      <c r="V458" s="17" t="s">
        <v>5595</v>
      </c>
      <c r="W458" s="17" t="s">
        <v>110</v>
      </c>
      <c r="X458" s="70">
        <v>95</v>
      </c>
      <c r="Y458" s="70">
        <v>75</v>
      </c>
      <c r="Z458" s="13">
        <v>25847</v>
      </c>
      <c r="AA458" s="13">
        <v>26023</v>
      </c>
      <c r="AB458" s="13">
        <v>26257</v>
      </c>
      <c r="AC458" s="13"/>
      <c r="AD458" s="86">
        <v>15610</v>
      </c>
      <c r="AE458" s="86">
        <v>15610</v>
      </c>
      <c r="AF458" s="70" t="s">
        <v>2540</v>
      </c>
      <c r="AG458" s="17" t="s">
        <v>5596</v>
      </c>
      <c r="AH458" s="23" t="s">
        <v>94</v>
      </c>
      <c r="AI458" s="71" t="s">
        <v>5597</v>
      </c>
      <c r="AJ458" s="17" t="s">
        <v>5598</v>
      </c>
      <c r="AK458" s="17" t="s">
        <v>94</v>
      </c>
      <c r="AL458" s="17" t="s">
        <v>5599</v>
      </c>
      <c r="AM458" s="17" t="s">
        <v>95</v>
      </c>
      <c r="AN458" s="23" t="s">
        <v>86</v>
      </c>
      <c r="AO458" s="17" t="s">
        <v>5600</v>
      </c>
      <c r="AP458" s="17" t="s">
        <v>5601</v>
      </c>
      <c r="AQ458" s="17" t="s">
        <v>4176</v>
      </c>
      <c r="AR458" s="17" t="s">
        <v>5602</v>
      </c>
      <c r="AS458" s="17"/>
      <c r="AT458" s="17"/>
      <c r="AU458" s="30" t="s">
        <v>5603</v>
      </c>
      <c r="AV458" s="14">
        <v>10884</v>
      </c>
      <c r="AW458" s="74">
        <v>309823</v>
      </c>
      <c r="AX458" s="1"/>
      <c r="AY458" s="17" t="s">
        <v>101</v>
      </c>
    </row>
    <row r="459" spans="1:51" ht="15" customHeight="1" x14ac:dyDescent="0.25">
      <c r="A459" s="5">
        <v>451</v>
      </c>
      <c r="B459" s="9">
        <v>451</v>
      </c>
      <c r="C459" s="9" t="s">
        <v>5604</v>
      </c>
      <c r="D459" s="57" t="str">
        <f>HYPERLINK("http://prodenv.dep.state.fl.us/DepNexus/public/electronic-documents/OG_451/facility!search","OG_451_Docs")</f>
        <v>OG_451_Docs</v>
      </c>
      <c r="E459" s="57" t="str">
        <f>HYPERLINK("https://ca.dep.state.fl.us/mapdirect/?focus=oilandgas&amp;zoom=query&amp;querytype=oilandgas&amp;queryvalues=OG_451","OG_451_Map")</f>
        <v>OG_451_Map</v>
      </c>
      <c r="F459" s="1" t="s">
        <v>1682</v>
      </c>
      <c r="G459" s="1" t="s">
        <v>5133</v>
      </c>
      <c r="H459" s="1" t="s">
        <v>5605</v>
      </c>
      <c r="I459" s="1" t="s">
        <v>5606</v>
      </c>
      <c r="J459" s="17" t="s">
        <v>268</v>
      </c>
      <c r="K459" s="17" t="s">
        <v>5048</v>
      </c>
      <c r="L459" s="17"/>
      <c r="M459" s="17"/>
      <c r="N459" s="52" t="s">
        <v>5607</v>
      </c>
      <c r="O459" s="17" t="s">
        <v>86</v>
      </c>
      <c r="P459" s="17" t="s">
        <v>86</v>
      </c>
      <c r="Q459" s="81" t="s">
        <v>5608</v>
      </c>
      <c r="R459" s="11">
        <v>30.986515000000001</v>
      </c>
      <c r="S459" s="11">
        <v>-87.193093000000005</v>
      </c>
      <c r="T459" s="11" t="s">
        <v>5609</v>
      </c>
      <c r="U459" s="11" t="s">
        <v>5610</v>
      </c>
      <c r="V459" s="17" t="s">
        <v>5582</v>
      </c>
      <c r="W459" s="23" t="s">
        <v>110</v>
      </c>
      <c r="X459" s="70">
        <v>71.8</v>
      </c>
      <c r="Y459" s="70">
        <v>49.3</v>
      </c>
      <c r="Z459" s="13">
        <v>25847</v>
      </c>
      <c r="AA459" s="13">
        <v>25875</v>
      </c>
      <c r="AB459" s="13">
        <v>26343</v>
      </c>
      <c r="AC459" s="13">
        <v>38142</v>
      </c>
      <c r="AD459" s="86">
        <v>15719</v>
      </c>
      <c r="AE459" s="86">
        <v>15719</v>
      </c>
      <c r="AF459" s="70" t="s">
        <v>1456</v>
      </c>
      <c r="AG459" s="17" t="s">
        <v>5611</v>
      </c>
      <c r="AH459" s="23" t="s">
        <v>94</v>
      </c>
      <c r="AI459" s="71" t="s">
        <v>5612</v>
      </c>
      <c r="AJ459" s="23" t="s">
        <v>5613</v>
      </c>
      <c r="AK459" s="17" t="s">
        <v>95</v>
      </c>
      <c r="AL459" s="17" t="s">
        <v>5614</v>
      </c>
      <c r="AM459" s="17" t="s">
        <v>95</v>
      </c>
      <c r="AN459" s="23" t="s">
        <v>86</v>
      </c>
      <c r="AO459" s="17" t="s">
        <v>5615</v>
      </c>
      <c r="AP459" s="17" t="s">
        <v>5616</v>
      </c>
      <c r="AQ459" s="17" t="s">
        <v>5617</v>
      </c>
      <c r="AR459" s="17" t="s">
        <v>5618</v>
      </c>
      <c r="AS459" s="17" t="s">
        <v>5619</v>
      </c>
      <c r="AT459" s="17"/>
      <c r="AU459" s="30" t="s">
        <v>5620</v>
      </c>
      <c r="AV459" s="14">
        <v>10763</v>
      </c>
      <c r="AW459" s="74"/>
      <c r="AX459" s="1"/>
      <c r="AY459" s="17" t="s">
        <v>101</v>
      </c>
    </row>
    <row r="460" spans="1:51" ht="15" customHeight="1" x14ac:dyDescent="0.25">
      <c r="A460" s="5">
        <v>452</v>
      </c>
      <c r="B460" s="9">
        <v>452</v>
      </c>
      <c r="C460" s="9" t="s">
        <v>5621</v>
      </c>
      <c r="D460" s="57" t="str">
        <f>HYPERLINK("http://prodenv.dep.state.fl.us/DepNexus/public/electronic-documents/OG_452/facility!search","OG_452_Docs")</f>
        <v>OG_452_Docs</v>
      </c>
      <c r="E460" s="57" t="str">
        <f>HYPERLINK("https://ca.dep.state.fl.us/mapdirect/?focus=oilandgas&amp;zoom=query&amp;querytype=oilandgas&amp;queryvalues=OG_452","OG_452_Map")</f>
        <v>OG_452_Map</v>
      </c>
      <c r="F460" s="1" t="s">
        <v>1797</v>
      </c>
      <c r="G460" s="1" t="s">
        <v>5133</v>
      </c>
      <c r="H460" s="1" t="s">
        <v>1363</v>
      </c>
      <c r="I460" s="1" t="s">
        <v>5622</v>
      </c>
      <c r="J460" s="17" t="s">
        <v>268</v>
      </c>
      <c r="K460" s="17" t="s">
        <v>412</v>
      </c>
      <c r="L460" s="17"/>
      <c r="M460" s="17" t="s">
        <v>5623</v>
      </c>
      <c r="N460" s="52" t="s">
        <v>5624</v>
      </c>
      <c r="O460" s="17" t="s">
        <v>86</v>
      </c>
      <c r="P460" s="17" t="s">
        <v>86</v>
      </c>
      <c r="Q460" s="81" t="s">
        <v>5625</v>
      </c>
      <c r="R460" s="11">
        <v>30.957471999999999</v>
      </c>
      <c r="S460" s="11">
        <v>-87.158795999999995</v>
      </c>
      <c r="T460" s="11" t="s">
        <v>5626</v>
      </c>
      <c r="U460" s="11" t="s">
        <v>5627</v>
      </c>
      <c r="V460" s="17" t="s">
        <v>5628</v>
      </c>
      <c r="W460" s="23" t="s">
        <v>110</v>
      </c>
      <c r="X460" s="70">
        <v>275.39999999999998</v>
      </c>
      <c r="Y460" s="70">
        <v>258.60000000000002</v>
      </c>
      <c r="Z460" s="13">
        <v>25959</v>
      </c>
      <c r="AA460" s="13">
        <v>25897</v>
      </c>
      <c r="AB460" s="13">
        <v>26154</v>
      </c>
      <c r="AC460" s="13"/>
      <c r="AD460" s="86">
        <v>15848</v>
      </c>
      <c r="AE460" s="86">
        <v>15848</v>
      </c>
      <c r="AF460" s="71" t="s">
        <v>5629</v>
      </c>
      <c r="AG460" s="23" t="s">
        <v>5630</v>
      </c>
      <c r="AH460" s="23" t="s">
        <v>94</v>
      </c>
      <c r="AI460" s="71" t="s">
        <v>5631</v>
      </c>
      <c r="AJ460" s="23" t="s">
        <v>5632</v>
      </c>
      <c r="AK460" s="17" t="s">
        <v>95</v>
      </c>
      <c r="AL460" s="17" t="s">
        <v>5633</v>
      </c>
      <c r="AM460" s="17" t="s">
        <v>95</v>
      </c>
      <c r="AN460" s="23" t="s">
        <v>86</v>
      </c>
      <c r="AO460" s="23" t="s">
        <v>5634</v>
      </c>
      <c r="AP460" s="23" t="s">
        <v>5635</v>
      </c>
      <c r="AQ460" s="17" t="s">
        <v>5636</v>
      </c>
      <c r="AR460" s="23" t="s">
        <v>5637</v>
      </c>
      <c r="AS460" s="23" t="s">
        <v>5638</v>
      </c>
      <c r="AT460" s="17"/>
      <c r="AU460" s="30" t="s">
        <v>5639</v>
      </c>
      <c r="AV460" s="14">
        <v>10765</v>
      </c>
      <c r="AW460" s="74">
        <v>309838</v>
      </c>
      <c r="AX460" s="1"/>
      <c r="AY460" s="17" t="s">
        <v>101</v>
      </c>
    </row>
    <row r="461" spans="1:51" ht="15" customHeight="1" x14ac:dyDescent="0.25">
      <c r="A461" s="5">
        <v>452.1</v>
      </c>
      <c r="B461" s="9" t="s">
        <v>5640</v>
      </c>
      <c r="C461" s="9" t="s">
        <v>5621</v>
      </c>
      <c r="D461" s="57" t="str">
        <f>HYPERLINK("http://prodenv.dep.state.fl.us/DepNexus/public/electronic-documents/OG_452/facility!search","OG_452_Docs")</f>
        <v>OG_452_Docs</v>
      </c>
      <c r="E461" s="57" t="str">
        <f>HYPERLINK("https://ca.dep.state.fl.us/mapdirect/?focus=oilandgas&amp;zoom=query&amp;querytype=oilandgas&amp;queryvalues=OG_452","OG_452_Map")</f>
        <v>OG_452_Map</v>
      </c>
      <c r="F461" s="1" t="s">
        <v>1797</v>
      </c>
      <c r="G461" s="1" t="s">
        <v>5133</v>
      </c>
      <c r="H461" s="1" t="s">
        <v>1363</v>
      </c>
      <c r="I461" s="1" t="s">
        <v>5641</v>
      </c>
      <c r="J461" s="17" t="s">
        <v>207</v>
      </c>
      <c r="K461" s="17" t="s">
        <v>208</v>
      </c>
      <c r="L461" s="17"/>
      <c r="M461" s="17" t="s">
        <v>207</v>
      </c>
      <c r="N461" s="52" t="s">
        <v>86</v>
      </c>
      <c r="O461" s="17" t="s">
        <v>86</v>
      </c>
      <c r="P461" s="17" t="s">
        <v>86</v>
      </c>
      <c r="Q461" s="81" t="s">
        <v>5625</v>
      </c>
      <c r="R461" s="11">
        <v>30.957471999999999</v>
      </c>
      <c r="S461" s="11">
        <v>-87.158795999999995</v>
      </c>
      <c r="T461" s="11" t="s">
        <v>5626</v>
      </c>
      <c r="U461" s="11" t="s">
        <v>5627</v>
      </c>
      <c r="V461" s="17" t="s">
        <v>5628</v>
      </c>
      <c r="W461" s="17"/>
      <c r="X461" s="70"/>
      <c r="Y461" s="70"/>
      <c r="Z461" s="13">
        <v>39664</v>
      </c>
      <c r="AA461" s="13"/>
      <c r="AB461" s="13"/>
      <c r="AC461" s="13"/>
      <c r="AD461" s="86"/>
      <c r="AE461" s="70"/>
      <c r="AF461" s="70" t="s">
        <v>207</v>
      </c>
      <c r="AG461" s="14" t="s">
        <v>207</v>
      </c>
      <c r="AH461" s="14" t="s">
        <v>207</v>
      </c>
      <c r="AI461" s="70" t="s">
        <v>207</v>
      </c>
      <c r="AJ461" s="14" t="s">
        <v>207</v>
      </c>
      <c r="AK461" s="14" t="s">
        <v>207</v>
      </c>
      <c r="AL461" s="14" t="s">
        <v>207</v>
      </c>
      <c r="AM461" s="14" t="s">
        <v>207</v>
      </c>
      <c r="AN461" s="14" t="s">
        <v>207</v>
      </c>
      <c r="AO461" s="14" t="s">
        <v>207</v>
      </c>
      <c r="AP461" s="14" t="s">
        <v>207</v>
      </c>
      <c r="AQ461" s="14" t="s">
        <v>207</v>
      </c>
      <c r="AR461" s="14" t="s">
        <v>207</v>
      </c>
      <c r="AS461" s="14" t="s">
        <v>207</v>
      </c>
      <c r="AT461" s="14" t="s">
        <v>207</v>
      </c>
      <c r="AU461" s="30" t="s">
        <v>207</v>
      </c>
      <c r="AV461" s="14" t="s">
        <v>207</v>
      </c>
      <c r="AW461" s="74">
        <v>309838</v>
      </c>
      <c r="AX461" s="1"/>
      <c r="AY461" s="17" t="s">
        <v>101</v>
      </c>
    </row>
    <row r="462" spans="1:51" ht="12.75" customHeight="1" x14ac:dyDescent="0.25">
      <c r="A462" s="5">
        <v>452.2</v>
      </c>
      <c r="B462" s="9" t="s">
        <v>5642</v>
      </c>
      <c r="C462" s="9" t="s">
        <v>5621</v>
      </c>
      <c r="D462" s="57" t="str">
        <f>HYPERLINK("http://prodenv.dep.state.fl.us/DepNexus/public/electronic-documents/OG_452/facility!search","OG_452_Docs")</f>
        <v>OG_452_Docs</v>
      </c>
      <c r="E462" s="57" t="str">
        <f>HYPERLINK("https://ca.dep.state.fl.us/mapdirect/?focus=oilandgas&amp;zoom=query&amp;querytype=oilandgas&amp;queryvalues=OG_452","OG_452_Map")</f>
        <v>OG_452_Map</v>
      </c>
      <c r="F462" s="1" t="s">
        <v>1797</v>
      </c>
      <c r="G462" s="1" t="s">
        <v>5133</v>
      </c>
      <c r="H462" s="1" t="s">
        <v>1363</v>
      </c>
      <c r="I462" s="1" t="s">
        <v>5643</v>
      </c>
      <c r="J462" s="17" t="s">
        <v>3646</v>
      </c>
      <c r="K462" s="17" t="s">
        <v>412</v>
      </c>
      <c r="L462" s="17"/>
      <c r="M462" s="17"/>
      <c r="N462" s="52" t="s">
        <v>5644</v>
      </c>
      <c r="O462" s="17" t="s">
        <v>86</v>
      </c>
      <c r="P462" s="17" t="s">
        <v>86</v>
      </c>
      <c r="Q462" s="81" t="s">
        <v>5625</v>
      </c>
      <c r="R462" s="11">
        <v>30.957471999999999</v>
      </c>
      <c r="S462" s="11">
        <v>-87.158795999999995</v>
      </c>
      <c r="T462" s="11" t="s">
        <v>5626</v>
      </c>
      <c r="U462" s="11" t="s">
        <v>5627</v>
      </c>
      <c r="V462" s="17" t="s">
        <v>5628</v>
      </c>
      <c r="W462" s="23" t="s">
        <v>5645</v>
      </c>
      <c r="X462" s="70">
        <v>284</v>
      </c>
      <c r="Y462" s="70">
        <v>257.3</v>
      </c>
      <c r="Z462" s="13">
        <v>40072</v>
      </c>
      <c r="AA462" s="13">
        <v>25897</v>
      </c>
      <c r="AB462" s="13">
        <v>39751</v>
      </c>
      <c r="AC462" s="13"/>
      <c r="AD462" s="86">
        <v>15711</v>
      </c>
      <c r="AE462" s="70">
        <v>18304</v>
      </c>
      <c r="AF462" s="70" t="s">
        <v>5646</v>
      </c>
      <c r="AG462" s="17" t="s">
        <v>5647</v>
      </c>
      <c r="AH462" s="17"/>
      <c r="AI462" s="70" t="s">
        <v>5648</v>
      </c>
      <c r="AJ462" s="23" t="s">
        <v>5649</v>
      </c>
      <c r="AK462" s="17"/>
      <c r="AL462" s="17"/>
      <c r="AM462" s="17"/>
      <c r="AN462" s="17" t="s">
        <v>86</v>
      </c>
      <c r="AO462" s="17" t="s">
        <v>5650</v>
      </c>
      <c r="AP462" s="17" t="s">
        <v>5651</v>
      </c>
      <c r="AQ462" s="17" t="s">
        <v>5652</v>
      </c>
      <c r="AR462" s="17" t="s">
        <v>5653</v>
      </c>
      <c r="AS462" s="17"/>
      <c r="AT462" s="17"/>
      <c r="AU462" s="30" t="s">
        <v>5654</v>
      </c>
      <c r="AV462" s="14"/>
      <c r="AW462" s="74">
        <v>309838</v>
      </c>
      <c r="AX462" s="1"/>
      <c r="AY462" s="17" t="s">
        <v>101</v>
      </c>
    </row>
    <row r="463" spans="1:51" ht="15" customHeight="1" x14ac:dyDescent="0.25">
      <c r="A463" s="5">
        <v>453</v>
      </c>
      <c r="B463" s="9">
        <v>453</v>
      </c>
      <c r="C463" s="9" t="s">
        <v>5655</v>
      </c>
      <c r="D463" s="57" t="str">
        <f>HYPERLINK("http://prodenv.dep.state.fl.us/DepNexus/public/electronic-documents/OG_453/facility!search","OG_453_Docs")</f>
        <v>OG_453_Docs</v>
      </c>
      <c r="E463" s="57" t="str">
        <f>HYPERLINK("https://ca.dep.state.fl.us/mapdirect/?focus=oilandgas&amp;zoom=query&amp;querytype=oilandgas&amp;queryvalues=OG_453","OG_453_Map")</f>
        <v>OG_453_Map</v>
      </c>
      <c r="F463" s="1" t="s">
        <v>1797</v>
      </c>
      <c r="G463" s="1" t="s">
        <v>5133</v>
      </c>
      <c r="H463" s="1" t="s">
        <v>176</v>
      </c>
      <c r="I463" s="1" t="s">
        <v>5656</v>
      </c>
      <c r="J463" s="17" t="s">
        <v>268</v>
      </c>
      <c r="K463" s="17" t="s">
        <v>412</v>
      </c>
      <c r="L463" s="17"/>
      <c r="M463" s="17"/>
      <c r="N463" s="52" t="s">
        <v>5657</v>
      </c>
      <c r="O463" s="17" t="s">
        <v>86</v>
      </c>
      <c r="P463" s="17" t="s">
        <v>86</v>
      </c>
      <c r="Q463" s="81" t="s">
        <v>2681</v>
      </c>
      <c r="R463" s="11">
        <v>30.985211</v>
      </c>
      <c r="S463" s="11">
        <v>-87.158180000000002</v>
      </c>
      <c r="T463" s="11" t="s">
        <v>5658</v>
      </c>
      <c r="U463" s="11" t="s">
        <v>5659</v>
      </c>
      <c r="V463" s="17" t="s">
        <v>5660</v>
      </c>
      <c r="W463" s="23" t="s">
        <v>110</v>
      </c>
      <c r="X463" s="70">
        <v>173.4</v>
      </c>
      <c r="Y463" s="70">
        <v>147.6</v>
      </c>
      <c r="Z463" s="13">
        <v>25882</v>
      </c>
      <c r="AA463" s="13">
        <v>25890</v>
      </c>
      <c r="AB463" s="13">
        <v>25982</v>
      </c>
      <c r="AC463" s="13">
        <v>38314</v>
      </c>
      <c r="AD463" s="86">
        <v>15838</v>
      </c>
      <c r="AE463" s="86">
        <v>15838</v>
      </c>
      <c r="AF463" s="70" t="s">
        <v>5661</v>
      </c>
      <c r="AG463" s="23" t="s">
        <v>5662</v>
      </c>
      <c r="AH463" s="23" t="s">
        <v>94</v>
      </c>
      <c r="AI463" s="71" t="s">
        <v>5663</v>
      </c>
      <c r="AJ463" s="23" t="s">
        <v>5664</v>
      </c>
      <c r="AK463" s="17" t="s">
        <v>95</v>
      </c>
      <c r="AL463" s="17" t="s">
        <v>5665</v>
      </c>
      <c r="AM463" s="17" t="s">
        <v>95</v>
      </c>
      <c r="AN463" s="23" t="s">
        <v>86</v>
      </c>
      <c r="AO463" s="23" t="s">
        <v>5666</v>
      </c>
      <c r="AP463" s="23" t="s">
        <v>5667</v>
      </c>
      <c r="AQ463" s="23" t="s">
        <v>5668</v>
      </c>
      <c r="AR463" s="23" t="s">
        <v>5669</v>
      </c>
      <c r="AS463" s="23" t="s">
        <v>5670</v>
      </c>
      <c r="AT463" s="17"/>
      <c r="AU463" s="30" t="s">
        <v>5671</v>
      </c>
      <c r="AV463" s="14">
        <v>10764</v>
      </c>
      <c r="AW463" s="74"/>
      <c r="AX463" s="1"/>
      <c r="AY463" s="17" t="s">
        <v>101</v>
      </c>
    </row>
    <row r="464" spans="1:51" ht="15" customHeight="1" x14ac:dyDescent="0.25">
      <c r="A464" s="5">
        <v>454</v>
      </c>
      <c r="B464" s="9">
        <v>454</v>
      </c>
      <c r="C464" s="9" t="s">
        <v>5672</v>
      </c>
      <c r="D464" s="57" t="str">
        <f>HYPERLINK("http://prodenv.dep.state.fl.us/DepNexus/public/electronic-documents/OG_454/facility!search","OG_454_Docs")</f>
        <v>OG_454_Docs</v>
      </c>
      <c r="E464" s="57" t="str">
        <f>HYPERLINK("https://ca.dep.state.fl.us/mapdirect/?focus=oilandgas&amp;zoom=query&amp;querytype=oilandgas&amp;queryvalues=OG_454","OG_454_Map")</f>
        <v>OG_454_Map</v>
      </c>
      <c r="F464" s="1" t="s">
        <v>265</v>
      </c>
      <c r="G464" s="1" t="s">
        <v>79</v>
      </c>
      <c r="H464" s="1" t="s">
        <v>3669</v>
      </c>
      <c r="I464" s="1" t="s">
        <v>5673</v>
      </c>
      <c r="J464" s="17" t="s">
        <v>82</v>
      </c>
      <c r="K464" s="17" t="s">
        <v>83</v>
      </c>
      <c r="L464" s="17"/>
      <c r="M464" s="17"/>
      <c r="N464" s="52" t="s">
        <v>3956</v>
      </c>
      <c r="O464" s="17" t="s">
        <v>86</v>
      </c>
      <c r="P464" s="17" t="s">
        <v>86</v>
      </c>
      <c r="Q464" s="81" t="s">
        <v>5674</v>
      </c>
      <c r="R464" s="11">
        <v>26.467841</v>
      </c>
      <c r="S464" s="11">
        <v>-81.372828999999996</v>
      </c>
      <c r="T464" s="11" t="s">
        <v>5675</v>
      </c>
      <c r="U464" s="11" t="s">
        <v>5676</v>
      </c>
      <c r="V464" s="17" t="s">
        <v>5677</v>
      </c>
      <c r="W464" s="23" t="s">
        <v>110</v>
      </c>
      <c r="X464" s="70">
        <v>46</v>
      </c>
      <c r="Y464" s="70">
        <v>30</v>
      </c>
      <c r="Z464" s="13">
        <v>25882</v>
      </c>
      <c r="AA464" s="13">
        <v>25892</v>
      </c>
      <c r="AB464" s="13">
        <v>25924</v>
      </c>
      <c r="AC464" s="13">
        <v>26343</v>
      </c>
      <c r="AD464" s="86">
        <v>12700</v>
      </c>
      <c r="AE464" s="86">
        <v>12700</v>
      </c>
      <c r="AF464" s="71" t="s">
        <v>5678</v>
      </c>
      <c r="AG464" s="23" t="s">
        <v>5679</v>
      </c>
      <c r="AH464" s="23" t="s">
        <v>5680</v>
      </c>
      <c r="AI464" s="71" t="s">
        <v>94</v>
      </c>
      <c r="AJ464" s="23" t="s">
        <v>94</v>
      </c>
      <c r="AK464" s="17" t="s">
        <v>95</v>
      </c>
      <c r="AL464" s="23" t="s">
        <v>5681</v>
      </c>
      <c r="AM464" s="17"/>
      <c r="AN464" s="23" t="s">
        <v>94</v>
      </c>
      <c r="AO464" s="17" t="s">
        <v>98</v>
      </c>
      <c r="AP464" s="17" t="s">
        <v>98</v>
      </c>
      <c r="AQ464" s="17" t="s">
        <v>98</v>
      </c>
      <c r="AR464" s="23" t="s">
        <v>94</v>
      </c>
      <c r="AS464" s="23" t="s">
        <v>5682</v>
      </c>
      <c r="AT464" s="17"/>
      <c r="AU464" s="30" t="s">
        <v>5683</v>
      </c>
      <c r="AV464" s="14">
        <v>10714</v>
      </c>
      <c r="AW464" s="74"/>
      <c r="AX464" s="1"/>
      <c r="AY464" s="17" t="s">
        <v>101</v>
      </c>
    </row>
    <row r="465" spans="1:51" ht="12.75" customHeight="1" x14ac:dyDescent="0.25">
      <c r="A465" s="5">
        <v>455</v>
      </c>
      <c r="B465" s="9">
        <v>455</v>
      </c>
      <c r="C465" s="9" t="s">
        <v>5684</v>
      </c>
      <c r="D465" s="57" t="str">
        <f>HYPERLINK("http://prodenv.dep.state.fl.us/DepNexus/public/electronic-documents/OG_455/facility!search","OG_455_Docs")</f>
        <v>OG_455_Docs</v>
      </c>
      <c r="E465" s="57" t="str">
        <f>HYPERLINK("https://ca.dep.state.fl.us/mapdirect/?focus=oilandgas&amp;zoom=query&amp;querytype=oilandgas&amp;queryvalues=OG_455","OG_455_Map")</f>
        <v>OG_455_Map</v>
      </c>
      <c r="F465" s="1" t="s">
        <v>1752</v>
      </c>
      <c r="G465" s="1" t="s">
        <v>4496</v>
      </c>
      <c r="H465" s="1" t="s">
        <v>176</v>
      </c>
      <c r="I465" s="1" t="s">
        <v>5685</v>
      </c>
      <c r="J465" s="17" t="s">
        <v>268</v>
      </c>
      <c r="K465" s="17" t="s">
        <v>412</v>
      </c>
      <c r="L465" s="17"/>
      <c r="M465" s="17"/>
      <c r="N465" s="52" t="s">
        <v>4735</v>
      </c>
      <c r="O465" s="17" t="s">
        <v>86</v>
      </c>
      <c r="P465" s="17" t="s">
        <v>86</v>
      </c>
      <c r="Q465" s="81" t="s">
        <v>5318</v>
      </c>
      <c r="R465" s="11">
        <v>26.525507000000001</v>
      </c>
      <c r="S465" s="11">
        <v>-81.563112000000004</v>
      </c>
      <c r="T465" s="11" t="s">
        <v>5686</v>
      </c>
      <c r="U465" s="11" t="s">
        <v>5687</v>
      </c>
      <c r="V465" s="17" t="s">
        <v>5688</v>
      </c>
      <c r="W465" s="23" t="s">
        <v>5689</v>
      </c>
      <c r="X465" s="70">
        <v>48</v>
      </c>
      <c r="Y465" s="70">
        <v>31</v>
      </c>
      <c r="Z465" s="13">
        <v>25882</v>
      </c>
      <c r="AA465" s="13">
        <v>25889</v>
      </c>
      <c r="AB465" s="13">
        <v>28061</v>
      </c>
      <c r="AC465" s="13">
        <v>28861</v>
      </c>
      <c r="AD465" s="86">
        <v>11675</v>
      </c>
      <c r="AE465" s="86">
        <v>11800</v>
      </c>
      <c r="AF465" s="71" t="s">
        <v>5690</v>
      </c>
      <c r="AG465" s="23" t="s">
        <v>5691</v>
      </c>
      <c r="AH465" s="23" t="s">
        <v>5692</v>
      </c>
      <c r="AI465" s="71" t="s">
        <v>5693</v>
      </c>
      <c r="AJ465" s="23" t="s">
        <v>5694</v>
      </c>
      <c r="AK465" s="17" t="s">
        <v>95</v>
      </c>
      <c r="AL465" s="23" t="s">
        <v>5695</v>
      </c>
      <c r="AM465" s="17" t="s">
        <v>94</v>
      </c>
      <c r="AN465" s="23" t="s">
        <v>86</v>
      </c>
      <c r="AO465" s="17" t="s">
        <v>5696</v>
      </c>
      <c r="AP465" s="17" t="s">
        <v>94</v>
      </c>
      <c r="AQ465" s="17" t="s">
        <v>5697</v>
      </c>
      <c r="AR465" s="23" t="s">
        <v>5698</v>
      </c>
      <c r="AS465" s="23" t="s">
        <v>5699</v>
      </c>
      <c r="AT465" s="17">
        <v>188</v>
      </c>
      <c r="AU465" s="30" t="s">
        <v>5700</v>
      </c>
      <c r="AV465" s="14">
        <v>10711</v>
      </c>
      <c r="AW465" s="74"/>
      <c r="AX465" s="1" t="s">
        <v>5701</v>
      </c>
      <c r="AY465" s="17" t="s">
        <v>101</v>
      </c>
    </row>
    <row r="466" spans="1:51" ht="12.75" customHeight="1" x14ac:dyDescent="0.25">
      <c r="A466" s="5">
        <v>456</v>
      </c>
      <c r="B466" s="9">
        <v>456</v>
      </c>
      <c r="C466" s="9" t="s">
        <v>5702</v>
      </c>
      <c r="D466" s="57" t="str">
        <f>HYPERLINK("http://prodenv.dep.state.fl.us/DepNexus/public/electronic-documents/OG_456/facility!search","OG_456_Docs")</f>
        <v>OG_456_Docs</v>
      </c>
      <c r="E466" s="57" t="str">
        <f>HYPERLINK("https://ca.dep.state.fl.us/mapdirect/?focus=oilandgas&amp;zoom=query&amp;querytype=oilandgas&amp;queryvalues=OG_456","OG_456_Map")</f>
        <v>OG_456_Map</v>
      </c>
      <c r="F466" s="1" t="s">
        <v>2026</v>
      </c>
      <c r="G466" s="1" t="s">
        <v>4496</v>
      </c>
      <c r="H466" s="1" t="s">
        <v>176</v>
      </c>
      <c r="I466" s="1" t="s">
        <v>5703</v>
      </c>
      <c r="J466" s="17" t="s">
        <v>207</v>
      </c>
      <c r="K466" s="17" t="s">
        <v>208</v>
      </c>
      <c r="L466" s="17"/>
      <c r="M466" s="17" t="s">
        <v>207</v>
      </c>
      <c r="N466" s="52" t="s">
        <v>86</v>
      </c>
      <c r="O466" s="17" t="s">
        <v>86</v>
      </c>
      <c r="P466" s="17" t="s">
        <v>86</v>
      </c>
      <c r="Q466" s="81" t="s">
        <v>5704</v>
      </c>
      <c r="R466" s="11">
        <v>26.566030999999999</v>
      </c>
      <c r="S466" s="11">
        <v>-81.593095000000005</v>
      </c>
      <c r="T466" s="11" t="s">
        <v>5705</v>
      </c>
      <c r="U466" s="11" t="s">
        <v>5706</v>
      </c>
      <c r="V466" s="17" t="s">
        <v>5707</v>
      </c>
      <c r="W466" s="23" t="s">
        <v>5708</v>
      </c>
      <c r="X466" s="71"/>
      <c r="Y466" s="71"/>
      <c r="Z466" s="13">
        <v>25882</v>
      </c>
      <c r="AA466" s="26"/>
      <c r="AB466" s="26"/>
      <c r="AC466" s="26"/>
      <c r="AD466" s="86"/>
      <c r="AE466" s="71"/>
      <c r="AF466" s="71" t="s">
        <v>207</v>
      </c>
      <c r="AG466" s="27" t="s">
        <v>207</v>
      </c>
      <c r="AH466" s="27" t="s">
        <v>207</v>
      </c>
      <c r="AI466" s="71" t="s">
        <v>207</v>
      </c>
      <c r="AJ466" s="27" t="s">
        <v>207</v>
      </c>
      <c r="AK466" s="27" t="s">
        <v>207</v>
      </c>
      <c r="AL466" s="27" t="s">
        <v>207</v>
      </c>
      <c r="AM466" s="27" t="s">
        <v>207</v>
      </c>
      <c r="AN466" s="27" t="s">
        <v>207</v>
      </c>
      <c r="AO466" s="27" t="s">
        <v>207</v>
      </c>
      <c r="AP466" s="27" t="s">
        <v>207</v>
      </c>
      <c r="AQ466" s="27" t="s">
        <v>207</v>
      </c>
      <c r="AR466" s="27" t="s">
        <v>207</v>
      </c>
      <c r="AS466" s="27" t="s">
        <v>207</v>
      </c>
      <c r="AT466" s="27" t="s">
        <v>207</v>
      </c>
      <c r="AU466" s="30" t="s">
        <v>5709</v>
      </c>
      <c r="AV466" s="27" t="s">
        <v>207</v>
      </c>
      <c r="AW466" s="74"/>
      <c r="AX466" s="1"/>
      <c r="AY466" s="17" t="s">
        <v>101</v>
      </c>
    </row>
    <row r="467" spans="1:51" ht="12.75" customHeight="1" x14ac:dyDescent="0.25">
      <c r="A467" s="5">
        <v>457</v>
      </c>
      <c r="B467" s="9">
        <v>457</v>
      </c>
      <c r="C467" s="9" t="s">
        <v>5710</v>
      </c>
      <c r="D467" s="57" t="str">
        <f>HYPERLINK("http://prodenv.dep.state.fl.us/DepNexus/public/electronic-documents/OG_457/facility!search","OG_457_Docs")</f>
        <v>OG_457_Docs</v>
      </c>
      <c r="E467" s="57" t="str">
        <f>HYPERLINK("https://ca.dep.state.fl.us/mapdirect/?focus=oilandgas&amp;zoom=query&amp;querytype=oilandgas&amp;queryvalues=OG_457","OG_457_Map")</f>
        <v>OG_457_Map</v>
      </c>
      <c r="F467" s="1" t="s">
        <v>1752</v>
      </c>
      <c r="G467" s="1" t="s">
        <v>4496</v>
      </c>
      <c r="H467" s="1" t="s">
        <v>5029</v>
      </c>
      <c r="I467" s="1" t="s">
        <v>5711</v>
      </c>
      <c r="J467" s="17" t="s">
        <v>268</v>
      </c>
      <c r="K467" s="17" t="s">
        <v>412</v>
      </c>
      <c r="L467" s="17"/>
      <c r="M467" s="17"/>
      <c r="N467" s="52" t="s">
        <v>3956</v>
      </c>
      <c r="O467" s="17" t="s">
        <v>86</v>
      </c>
      <c r="P467" s="17" t="s">
        <v>86</v>
      </c>
      <c r="Q467" s="81" t="s">
        <v>5712</v>
      </c>
      <c r="R467" s="11">
        <v>26.537122</v>
      </c>
      <c r="S467" s="11">
        <v>-81.537217999999996</v>
      </c>
      <c r="T467" s="11" t="s">
        <v>5713</v>
      </c>
      <c r="U467" s="11" t="s">
        <v>5714</v>
      </c>
      <c r="V467" s="17" t="s">
        <v>5715</v>
      </c>
      <c r="W467" s="17" t="s">
        <v>110</v>
      </c>
      <c r="X467" s="70">
        <v>48</v>
      </c>
      <c r="Y467" s="70">
        <v>32</v>
      </c>
      <c r="Z467" s="13">
        <v>25882</v>
      </c>
      <c r="AA467" s="13">
        <v>25971</v>
      </c>
      <c r="AB467" s="13">
        <v>26010</v>
      </c>
      <c r="AC467" s="13">
        <v>35349</v>
      </c>
      <c r="AD467" s="86">
        <v>11560</v>
      </c>
      <c r="AE467" s="86">
        <v>11560</v>
      </c>
      <c r="AF467" s="70" t="s">
        <v>5457</v>
      </c>
      <c r="AG467" s="17" t="s">
        <v>5716</v>
      </c>
      <c r="AH467" s="17" t="s">
        <v>5717</v>
      </c>
      <c r="AI467" s="70" t="s">
        <v>5718</v>
      </c>
      <c r="AJ467" s="17" t="s">
        <v>5719</v>
      </c>
      <c r="AK467" s="17" t="s">
        <v>94</v>
      </c>
      <c r="AL467" s="17" t="s">
        <v>5720</v>
      </c>
      <c r="AM467" s="23" t="s">
        <v>94</v>
      </c>
      <c r="AN467" s="17" t="s">
        <v>86</v>
      </c>
      <c r="AO467" s="17" t="s">
        <v>5721</v>
      </c>
      <c r="AP467" s="17" t="s">
        <v>5722</v>
      </c>
      <c r="AQ467" s="17" t="s">
        <v>5636</v>
      </c>
      <c r="AR467" s="17" t="s">
        <v>5723</v>
      </c>
      <c r="AS467" s="23" t="s">
        <v>5724</v>
      </c>
      <c r="AT467" s="17">
        <v>195</v>
      </c>
      <c r="AU467" s="30" t="s">
        <v>5725</v>
      </c>
      <c r="AV467" s="14">
        <v>10928</v>
      </c>
      <c r="AW467" s="74"/>
      <c r="AX467" s="1"/>
      <c r="AY467" s="17" t="s">
        <v>101</v>
      </c>
    </row>
    <row r="468" spans="1:51" ht="15" customHeight="1" x14ac:dyDescent="0.25">
      <c r="A468" s="5">
        <v>458</v>
      </c>
      <c r="B468" s="9">
        <v>458</v>
      </c>
      <c r="C468" s="9" t="s">
        <v>5726</v>
      </c>
      <c r="D468" s="57" t="str">
        <f>HYPERLINK("http://prodenv.dep.state.fl.us/DepNexus/public/electronic-documents/OG_458/facility!search","OG_458_Docs")</f>
        <v>OG_458_Docs</v>
      </c>
      <c r="E468" s="57" t="str">
        <f>HYPERLINK("https://ca.dep.state.fl.us/mapdirect/?focus=oilandgas&amp;zoom=query&amp;querytype=oilandgas&amp;queryvalues=OG_458","OG_458_Map")</f>
        <v>OG_458_Map</v>
      </c>
      <c r="F468" s="1" t="s">
        <v>1752</v>
      </c>
      <c r="G468" s="1" t="s">
        <v>4496</v>
      </c>
      <c r="H468" s="1" t="s">
        <v>5029</v>
      </c>
      <c r="I468" s="1" t="s">
        <v>5727</v>
      </c>
      <c r="J468" s="17" t="s">
        <v>268</v>
      </c>
      <c r="K468" s="17" t="s">
        <v>412</v>
      </c>
      <c r="L468" s="17"/>
      <c r="M468" s="17"/>
      <c r="N468" s="52" t="s">
        <v>3956</v>
      </c>
      <c r="O468" s="17" t="s">
        <v>86</v>
      </c>
      <c r="P468" s="17" t="s">
        <v>86</v>
      </c>
      <c r="Q468" s="81" t="s">
        <v>5728</v>
      </c>
      <c r="R468" s="11">
        <v>26.536902000000001</v>
      </c>
      <c r="S468" s="11">
        <v>-81.543850000000006</v>
      </c>
      <c r="T468" s="11" t="s">
        <v>5729</v>
      </c>
      <c r="U468" s="11" t="s">
        <v>5730</v>
      </c>
      <c r="V468" s="17" t="s">
        <v>5731</v>
      </c>
      <c r="W468" s="17" t="s">
        <v>110</v>
      </c>
      <c r="X468" s="70">
        <v>47</v>
      </c>
      <c r="Y468" s="70">
        <v>31</v>
      </c>
      <c r="Z468" s="13">
        <v>25882</v>
      </c>
      <c r="AA468" s="13">
        <v>25938</v>
      </c>
      <c r="AB468" s="13">
        <v>25985</v>
      </c>
      <c r="AC468" s="13">
        <v>37013</v>
      </c>
      <c r="AD468" s="86">
        <v>11550</v>
      </c>
      <c r="AE468" s="86">
        <v>11550</v>
      </c>
      <c r="AF468" s="70" t="s">
        <v>5457</v>
      </c>
      <c r="AG468" s="17" t="s">
        <v>5732</v>
      </c>
      <c r="AH468" s="17" t="s">
        <v>5036</v>
      </c>
      <c r="AI468" s="70" t="s">
        <v>5733</v>
      </c>
      <c r="AJ468" s="17" t="s">
        <v>5734</v>
      </c>
      <c r="AK468" s="17" t="s">
        <v>94</v>
      </c>
      <c r="AL468" s="17" t="s">
        <v>5735</v>
      </c>
      <c r="AM468" s="17" t="s">
        <v>95</v>
      </c>
      <c r="AN468" s="17" t="s">
        <v>86</v>
      </c>
      <c r="AO468" s="17" t="s">
        <v>5736</v>
      </c>
      <c r="AP468" s="23" t="s">
        <v>5737</v>
      </c>
      <c r="AQ468" s="17" t="s">
        <v>5738</v>
      </c>
      <c r="AR468" s="17" t="s">
        <v>5739</v>
      </c>
      <c r="AS468" s="23" t="s">
        <v>5740</v>
      </c>
      <c r="AT468" s="17"/>
      <c r="AU468" s="30" t="s">
        <v>5741</v>
      </c>
      <c r="AV468" s="14">
        <v>10769</v>
      </c>
      <c r="AW468" s="74"/>
      <c r="AX468" s="1"/>
      <c r="AY468" s="17" t="s">
        <v>101</v>
      </c>
    </row>
    <row r="469" spans="1:51" ht="15" customHeight="1" x14ac:dyDescent="0.25">
      <c r="A469" s="5">
        <v>459</v>
      </c>
      <c r="B469" s="9">
        <v>459</v>
      </c>
      <c r="C469" s="9" t="s">
        <v>5742</v>
      </c>
      <c r="D469" s="57" t="str">
        <f>HYPERLINK("http://prodenv.dep.state.fl.us/DepNexus/public/electronic-documents/OG_459/facility!search","OG_459_Docs")</f>
        <v>OG_459_Docs</v>
      </c>
      <c r="E469" s="57" t="str">
        <f>HYPERLINK("https://ca.dep.state.fl.us/mapdirect/?focus=oilandgas&amp;zoom=query&amp;querytype=oilandgas&amp;queryvalues=OG_459","OG_459_Map")</f>
        <v>OG_459_Map</v>
      </c>
      <c r="F469" s="1" t="s">
        <v>2222</v>
      </c>
      <c r="G469" s="1" t="s">
        <v>79</v>
      </c>
      <c r="H469" s="1" t="s">
        <v>5248</v>
      </c>
      <c r="I469" s="1" t="s">
        <v>5743</v>
      </c>
      <c r="J469" s="17" t="s">
        <v>82</v>
      </c>
      <c r="K469" s="17" t="s">
        <v>83</v>
      </c>
      <c r="L469" s="17"/>
      <c r="M469" s="17" t="s">
        <v>84</v>
      </c>
      <c r="N469" s="52" t="s">
        <v>5250</v>
      </c>
      <c r="O469" s="17" t="s">
        <v>86</v>
      </c>
      <c r="P469" s="17" t="s">
        <v>86</v>
      </c>
      <c r="Q469" s="81" t="s">
        <v>5744</v>
      </c>
      <c r="R469" s="11">
        <v>26.926808000000001</v>
      </c>
      <c r="S469" s="11">
        <v>-81.658991999999998</v>
      </c>
      <c r="T469" s="11" t="s">
        <v>5745</v>
      </c>
      <c r="U469" s="11" t="s">
        <v>5746</v>
      </c>
      <c r="V469" s="17" t="s">
        <v>5747</v>
      </c>
      <c r="W469" s="17" t="s">
        <v>110</v>
      </c>
      <c r="X469" s="70">
        <v>83</v>
      </c>
      <c r="Y469" s="70">
        <v>61</v>
      </c>
      <c r="Z469" s="13">
        <v>25882</v>
      </c>
      <c r="AA469" s="13">
        <v>25882</v>
      </c>
      <c r="AB469" s="13">
        <v>25921</v>
      </c>
      <c r="AC469" s="13">
        <v>25921</v>
      </c>
      <c r="AD469" s="86">
        <v>13432</v>
      </c>
      <c r="AE469" s="86">
        <v>13432</v>
      </c>
      <c r="AF469" s="70" t="s">
        <v>5112</v>
      </c>
      <c r="AG469" s="17" t="s">
        <v>3831</v>
      </c>
      <c r="AH469" s="17" t="s">
        <v>5748</v>
      </c>
      <c r="AI469" s="70" t="s">
        <v>94</v>
      </c>
      <c r="AJ469" s="17" t="s">
        <v>94</v>
      </c>
      <c r="AK469" s="17" t="s">
        <v>95</v>
      </c>
      <c r="AL469" s="17" t="s">
        <v>5749</v>
      </c>
      <c r="AM469" s="17" t="s">
        <v>95</v>
      </c>
      <c r="AN469" s="17" t="s">
        <v>94</v>
      </c>
      <c r="AO469" s="17" t="s">
        <v>98</v>
      </c>
      <c r="AP469" s="17" t="s">
        <v>98</v>
      </c>
      <c r="AQ469" s="17" t="s">
        <v>98</v>
      </c>
      <c r="AR469" s="17" t="s">
        <v>94</v>
      </c>
      <c r="AS469" s="17" t="s">
        <v>5750</v>
      </c>
      <c r="AT469" s="17">
        <v>208</v>
      </c>
      <c r="AU469" s="30" t="s">
        <v>5751</v>
      </c>
      <c r="AV469" s="14">
        <v>10717</v>
      </c>
      <c r="AW469" s="74"/>
      <c r="AX469" s="1"/>
      <c r="AY469" s="17" t="s">
        <v>101</v>
      </c>
    </row>
    <row r="470" spans="1:51" ht="12.75" customHeight="1" x14ac:dyDescent="0.25">
      <c r="A470" s="5">
        <v>460</v>
      </c>
      <c r="B470" s="9">
        <v>460</v>
      </c>
      <c r="C470" s="9" t="s">
        <v>5752</v>
      </c>
      <c r="D470" s="57" t="str">
        <f>HYPERLINK("http://prodenv.dep.state.fl.us/DepNexus/public/electronic-documents/OG_460/facility!search","OG_460_Docs")</f>
        <v>OG_460_Docs</v>
      </c>
      <c r="E470" s="57" t="str">
        <f>HYPERLINK("https://ca.dep.state.fl.us/mapdirect/?focus=oilandgas&amp;zoom=query&amp;querytype=oilandgas&amp;queryvalues=OG_460","OG_460_Map")</f>
        <v>OG_460_Map</v>
      </c>
      <c r="F470" s="1" t="s">
        <v>2026</v>
      </c>
      <c r="G470" s="1" t="s">
        <v>4496</v>
      </c>
      <c r="H470" s="1" t="s">
        <v>176</v>
      </c>
      <c r="I470" s="1" t="s">
        <v>5753</v>
      </c>
      <c r="J470" s="17" t="s">
        <v>207</v>
      </c>
      <c r="K470" s="17" t="s">
        <v>208</v>
      </c>
      <c r="L470" s="17"/>
      <c r="M470" s="17" t="s">
        <v>207</v>
      </c>
      <c r="N470" s="52" t="s">
        <v>86</v>
      </c>
      <c r="O470" s="17" t="s">
        <v>86</v>
      </c>
      <c r="P470" s="17" t="s">
        <v>86</v>
      </c>
      <c r="Q470" s="81" t="s">
        <v>5754</v>
      </c>
      <c r="R470" s="11">
        <v>26.566023000000001</v>
      </c>
      <c r="S470" s="11">
        <v>-81.593087999999995</v>
      </c>
      <c r="T470" s="11" t="s">
        <v>5755</v>
      </c>
      <c r="U470" s="11" t="s">
        <v>5756</v>
      </c>
      <c r="V470" s="23" t="s">
        <v>5757</v>
      </c>
      <c r="W470" s="23" t="s">
        <v>5758</v>
      </c>
      <c r="X470" s="71"/>
      <c r="Y470" s="71"/>
      <c r="Z470" s="13">
        <v>25889</v>
      </c>
      <c r="AA470" s="26"/>
      <c r="AB470" s="26"/>
      <c r="AC470" s="26"/>
      <c r="AD470" s="86"/>
      <c r="AE470" s="71"/>
      <c r="AF470" s="71" t="s">
        <v>207</v>
      </c>
      <c r="AG470" s="27" t="s">
        <v>207</v>
      </c>
      <c r="AH470" s="27" t="s">
        <v>207</v>
      </c>
      <c r="AI470" s="71" t="s">
        <v>207</v>
      </c>
      <c r="AJ470" s="27" t="s">
        <v>207</v>
      </c>
      <c r="AK470" s="27" t="s">
        <v>207</v>
      </c>
      <c r="AL470" s="27" t="s">
        <v>207</v>
      </c>
      <c r="AM470" s="27" t="s">
        <v>207</v>
      </c>
      <c r="AN470" s="27" t="s">
        <v>207</v>
      </c>
      <c r="AO470" s="27" t="s">
        <v>207</v>
      </c>
      <c r="AP470" s="27" t="s">
        <v>207</v>
      </c>
      <c r="AQ470" s="27" t="s">
        <v>207</v>
      </c>
      <c r="AR470" s="27" t="s">
        <v>207</v>
      </c>
      <c r="AS470" s="27" t="s">
        <v>207</v>
      </c>
      <c r="AT470" s="27" t="s">
        <v>207</v>
      </c>
      <c r="AU470" s="30" t="s">
        <v>5759</v>
      </c>
      <c r="AV470" s="27" t="s">
        <v>207</v>
      </c>
      <c r="AW470" s="74"/>
      <c r="AX470" s="1"/>
      <c r="AY470" s="17" t="s">
        <v>101</v>
      </c>
    </row>
    <row r="471" spans="1:51" ht="12.75" customHeight="1" x14ac:dyDescent="0.25">
      <c r="A471" s="5">
        <v>461</v>
      </c>
      <c r="B471" s="9">
        <v>461</v>
      </c>
      <c r="C471" s="9" t="s">
        <v>5760</v>
      </c>
      <c r="D471" s="57" t="str">
        <f>HYPERLINK("http://prodenv.dep.state.fl.us/DepNexus/public/electronic-documents/OG_461/facility!search","OG_461_Docs")</f>
        <v>OG_461_Docs</v>
      </c>
      <c r="E471" s="57" t="str">
        <f>HYPERLINK("https://ca.dep.state.fl.us/mapdirect/?focus=oilandgas&amp;zoom=query&amp;querytype=oilandgas&amp;queryvalues=OG_461","OG_461_Map")</f>
        <v>OG_461_Map</v>
      </c>
      <c r="F471" s="1" t="s">
        <v>2026</v>
      </c>
      <c r="G471" s="1" t="s">
        <v>4496</v>
      </c>
      <c r="H471" s="1" t="s">
        <v>176</v>
      </c>
      <c r="I471" s="1" t="s">
        <v>5761</v>
      </c>
      <c r="J471" s="17" t="s">
        <v>207</v>
      </c>
      <c r="K471" s="17" t="s">
        <v>208</v>
      </c>
      <c r="L471" s="17"/>
      <c r="M471" s="17" t="s">
        <v>207</v>
      </c>
      <c r="N471" s="52" t="s">
        <v>86</v>
      </c>
      <c r="O471" s="17" t="s">
        <v>86</v>
      </c>
      <c r="P471" s="17" t="s">
        <v>86</v>
      </c>
      <c r="Q471" s="81" t="s">
        <v>5762</v>
      </c>
      <c r="R471" s="11">
        <v>26.565950999999998</v>
      </c>
      <c r="S471" s="11">
        <v>-81.593065999999993</v>
      </c>
      <c r="T471" s="11" t="s">
        <v>5763</v>
      </c>
      <c r="U471" s="11" t="s">
        <v>5764</v>
      </c>
      <c r="V471" s="17" t="s">
        <v>5765</v>
      </c>
      <c r="W471" s="23" t="s">
        <v>5766</v>
      </c>
      <c r="X471" s="71"/>
      <c r="Y471" s="71"/>
      <c r="Z471" s="13">
        <v>25889</v>
      </c>
      <c r="AA471" s="26"/>
      <c r="AB471" s="26"/>
      <c r="AC471" s="26"/>
      <c r="AD471" s="86"/>
      <c r="AE471" s="71"/>
      <c r="AF471" s="71" t="s">
        <v>207</v>
      </c>
      <c r="AG471" s="27" t="s">
        <v>207</v>
      </c>
      <c r="AH471" s="27" t="s">
        <v>207</v>
      </c>
      <c r="AI471" s="71" t="s">
        <v>207</v>
      </c>
      <c r="AJ471" s="27" t="s">
        <v>207</v>
      </c>
      <c r="AK471" s="27" t="s">
        <v>207</v>
      </c>
      <c r="AL471" s="27" t="s">
        <v>207</v>
      </c>
      <c r="AM471" s="27" t="s">
        <v>207</v>
      </c>
      <c r="AN471" s="27" t="s">
        <v>207</v>
      </c>
      <c r="AO471" s="27" t="s">
        <v>207</v>
      </c>
      <c r="AP471" s="27" t="s">
        <v>207</v>
      </c>
      <c r="AQ471" s="27" t="s">
        <v>207</v>
      </c>
      <c r="AR471" s="27" t="s">
        <v>207</v>
      </c>
      <c r="AS471" s="27" t="s">
        <v>207</v>
      </c>
      <c r="AT471" s="27" t="s">
        <v>207</v>
      </c>
      <c r="AU471" s="30" t="s">
        <v>5767</v>
      </c>
      <c r="AV471" s="27" t="s">
        <v>207</v>
      </c>
      <c r="AW471" s="74"/>
      <c r="AX471" s="1"/>
      <c r="AY471" s="17" t="s">
        <v>101</v>
      </c>
    </row>
    <row r="472" spans="1:51" ht="12.75" customHeight="1" x14ac:dyDescent="0.25">
      <c r="A472" s="5">
        <v>462</v>
      </c>
      <c r="B472" s="9">
        <v>462</v>
      </c>
      <c r="C472" s="9" t="s">
        <v>5768</v>
      </c>
      <c r="D472" s="57" t="str">
        <f>HYPERLINK("http://prodenv.dep.state.fl.us/DepNexus/public/electronic-documents/OG_462/facility!search","OG_462_Docs")</f>
        <v>OG_462_Docs</v>
      </c>
      <c r="E472" s="57" t="str">
        <f>HYPERLINK("https://ca.dep.state.fl.us/mapdirect/?focus=oilandgas&amp;zoom=query&amp;querytype=oilandgas&amp;queryvalues=OG_462","OG_462_Map")</f>
        <v>OG_462_Map</v>
      </c>
      <c r="F472" s="1" t="s">
        <v>265</v>
      </c>
      <c r="G472" s="1" t="s">
        <v>4496</v>
      </c>
      <c r="H472" s="1" t="s">
        <v>3669</v>
      </c>
      <c r="I472" s="1" t="s">
        <v>5769</v>
      </c>
      <c r="J472" s="17" t="s">
        <v>268</v>
      </c>
      <c r="K472" s="17" t="s">
        <v>412</v>
      </c>
      <c r="L472" s="17"/>
      <c r="M472" s="17"/>
      <c r="N472" s="52" t="s">
        <v>3956</v>
      </c>
      <c r="O472" s="17" t="s">
        <v>86</v>
      </c>
      <c r="P472" s="17" t="s">
        <v>86</v>
      </c>
      <c r="Q472" s="81" t="s">
        <v>5770</v>
      </c>
      <c r="R472" s="11">
        <v>26.511437000000001</v>
      </c>
      <c r="S472" s="11">
        <v>-81.533625000000001</v>
      </c>
      <c r="T472" s="11" t="s">
        <v>5771</v>
      </c>
      <c r="U472" s="11" t="s">
        <v>5772</v>
      </c>
      <c r="V472" s="17" t="s">
        <v>5773</v>
      </c>
      <c r="W472" s="17" t="s">
        <v>110</v>
      </c>
      <c r="X472" s="70">
        <v>45</v>
      </c>
      <c r="Y472" s="70">
        <v>27</v>
      </c>
      <c r="Z472" s="13">
        <v>25889</v>
      </c>
      <c r="AA472" s="13">
        <v>25895</v>
      </c>
      <c r="AB472" s="13">
        <v>26032</v>
      </c>
      <c r="AC472" s="13">
        <v>27015</v>
      </c>
      <c r="AD472" s="86">
        <v>11660</v>
      </c>
      <c r="AE472" s="86">
        <v>11660</v>
      </c>
      <c r="AF472" s="70" t="s">
        <v>5190</v>
      </c>
      <c r="AG472" s="17" t="s">
        <v>5774</v>
      </c>
      <c r="AH472" s="17" t="s">
        <v>4600</v>
      </c>
      <c r="AI472" s="70" t="s">
        <v>5775</v>
      </c>
      <c r="AJ472" s="23" t="s">
        <v>5776</v>
      </c>
      <c r="AK472" s="17" t="s">
        <v>94</v>
      </c>
      <c r="AL472" s="17" t="s">
        <v>5777</v>
      </c>
      <c r="AM472" s="17" t="s">
        <v>94</v>
      </c>
      <c r="AN472" s="17" t="s">
        <v>86</v>
      </c>
      <c r="AO472" s="17" t="s">
        <v>5778</v>
      </c>
      <c r="AP472" s="17" t="s">
        <v>94</v>
      </c>
      <c r="AQ472" s="17" t="s">
        <v>5779</v>
      </c>
      <c r="AR472" s="17" t="s">
        <v>5780</v>
      </c>
      <c r="AS472" s="17" t="s">
        <v>5781</v>
      </c>
      <c r="AT472" s="17"/>
      <c r="AU472" s="30" t="s">
        <v>5782</v>
      </c>
      <c r="AV472" s="14">
        <v>10768</v>
      </c>
      <c r="AW472" s="74"/>
      <c r="AX472" s="1"/>
      <c r="AY472" s="17" t="s">
        <v>101</v>
      </c>
    </row>
    <row r="473" spans="1:51" ht="15" customHeight="1" x14ac:dyDescent="0.25">
      <c r="A473" s="5">
        <v>463</v>
      </c>
      <c r="B473" s="9">
        <v>463</v>
      </c>
      <c r="C473" s="9" t="s">
        <v>5783</v>
      </c>
      <c r="D473" s="57" t="str">
        <f>HYPERLINK("http://prodenv.dep.state.fl.us/DepNexus/public/electronic-documents/OG_463/facility!search","OG_463_Docs")</f>
        <v>OG_463_Docs</v>
      </c>
      <c r="E473" s="57" t="str">
        <f>HYPERLINK("https://ca.dep.state.fl.us/mapdirect/?focus=oilandgas&amp;zoom=query&amp;querytype=oilandgas&amp;queryvalues=OG_463","OG_463_Map")</f>
        <v>OG_463_Map</v>
      </c>
      <c r="F473" s="1" t="s">
        <v>1682</v>
      </c>
      <c r="G473" s="1" t="s">
        <v>5133</v>
      </c>
      <c r="H473" s="1" t="s">
        <v>1363</v>
      </c>
      <c r="I473" s="1" t="s">
        <v>5784</v>
      </c>
      <c r="J473" s="17" t="s">
        <v>5135</v>
      </c>
      <c r="K473" s="17" t="s">
        <v>4266</v>
      </c>
      <c r="L473" s="17"/>
      <c r="M473" s="17"/>
      <c r="N473" s="52" t="s">
        <v>5785</v>
      </c>
      <c r="O473" s="17" t="s">
        <v>86</v>
      </c>
      <c r="P473" s="17" t="s">
        <v>86</v>
      </c>
      <c r="Q473" s="81" t="s">
        <v>5786</v>
      </c>
      <c r="R473" s="11">
        <v>30.994036999999999</v>
      </c>
      <c r="S473" s="11">
        <v>-87.192744000000005</v>
      </c>
      <c r="T473" s="11" t="s">
        <v>5787</v>
      </c>
      <c r="U473" s="11" t="s">
        <v>5788</v>
      </c>
      <c r="V473" s="23" t="s">
        <v>5789</v>
      </c>
      <c r="W473" s="17" t="s">
        <v>110</v>
      </c>
      <c r="X473" s="70">
        <v>80.8</v>
      </c>
      <c r="Y473" s="70">
        <v>60.8</v>
      </c>
      <c r="Z473" s="13">
        <v>25896</v>
      </c>
      <c r="AA473" s="13">
        <v>26005</v>
      </c>
      <c r="AB473" s="13">
        <v>26343</v>
      </c>
      <c r="AC473" s="13"/>
      <c r="AD473" s="86">
        <v>15653</v>
      </c>
      <c r="AE473" s="86">
        <v>15653</v>
      </c>
      <c r="AF473" s="70" t="s">
        <v>2540</v>
      </c>
      <c r="AG473" s="23" t="s">
        <v>5790</v>
      </c>
      <c r="AH473" s="23" t="s">
        <v>94</v>
      </c>
      <c r="AI473" s="71" t="s">
        <v>5791</v>
      </c>
      <c r="AJ473" s="23" t="s">
        <v>5792</v>
      </c>
      <c r="AK473" s="17" t="s">
        <v>95</v>
      </c>
      <c r="AL473" s="17" t="s">
        <v>5793</v>
      </c>
      <c r="AM473" s="17" t="s">
        <v>95</v>
      </c>
      <c r="AN473" s="17" t="s">
        <v>86</v>
      </c>
      <c r="AO473" s="23" t="s">
        <v>5794</v>
      </c>
      <c r="AP473" s="23" t="s">
        <v>5795</v>
      </c>
      <c r="AQ473" s="17" t="s">
        <v>5617</v>
      </c>
      <c r="AR473" s="23" t="s">
        <v>5796</v>
      </c>
      <c r="AS473" s="17"/>
      <c r="AT473" s="17"/>
      <c r="AU473" s="30" t="s">
        <v>5797</v>
      </c>
      <c r="AV473" s="14">
        <v>10863</v>
      </c>
      <c r="AW473" s="74">
        <v>311576</v>
      </c>
      <c r="AX473" s="1" t="s">
        <v>5798</v>
      </c>
      <c r="AY473" s="17" t="s">
        <v>101</v>
      </c>
    </row>
    <row r="474" spans="1:51" ht="15" customHeight="1" x14ac:dyDescent="0.25">
      <c r="A474" s="5">
        <v>464</v>
      </c>
      <c r="B474" s="9">
        <v>464</v>
      </c>
      <c r="C474" s="9" t="s">
        <v>5799</v>
      </c>
      <c r="D474" s="57" t="str">
        <f>HYPERLINK("http://prodenv.dep.state.fl.us/DepNexus/public/electronic-documents/OG_464/facility!search","OG_464_Docs")</f>
        <v>OG_464_Docs</v>
      </c>
      <c r="E474" s="57" t="str">
        <f>HYPERLINK("https://ca.dep.state.fl.us/mapdirect/?focus=oilandgas&amp;zoom=query&amp;querytype=oilandgas&amp;queryvalues=OG_464","OG_464_Map")</f>
        <v>OG_464_Map</v>
      </c>
      <c r="F474" s="1" t="s">
        <v>2026</v>
      </c>
      <c r="G474" s="1" t="s">
        <v>4496</v>
      </c>
      <c r="H474" s="1" t="s">
        <v>176</v>
      </c>
      <c r="I474" s="1" t="s">
        <v>5800</v>
      </c>
      <c r="J474" s="17" t="s">
        <v>207</v>
      </c>
      <c r="K474" s="17" t="s">
        <v>208</v>
      </c>
      <c r="L474" s="17"/>
      <c r="M474" s="17" t="s">
        <v>207</v>
      </c>
      <c r="N474" s="52" t="s">
        <v>86</v>
      </c>
      <c r="O474" s="17" t="s">
        <v>86</v>
      </c>
      <c r="P474" s="17" t="s">
        <v>86</v>
      </c>
      <c r="Q474" s="81" t="s">
        <v>5801</v>
      </c>
      <c r="R474" s="11">
        <v>26.587201</v>
      </c>
      <c r="S474" s="11">
        <v>-81.591057000000006</v>
      </c>
      <c r="T474" s="11" t="s">
        <v>5802</v>
      </c>
      <c r="U474" s="11" t="s">
        <v>5803</v>
      </c>
      <c r="V474" s="23" t="s">
        <v>5804</v>
      </c>
      <c r="W474" s="23" t="s">
        <v>5805</v>
      </c>
      <c r="X474" s="71"/>
      <c r="Y474" s="71"/>
      <c r="Z474" s="13">
        <v>25896</v>
      </c>
      <c r="AA474" s="26"/>
      <c r="AB474" s="26"/>
      <c r="AC474" s="26"/>
      <c r="AD474" s="86"/>
      <c r="AE474" s="71"/>
      <c r="AF474" s="71" t="s">
        <v>207</v>
      </c>
      <c r="AG474" s="27" t="s">
        <v>207</v>
      </c>
      <c r="AH474" s="27" t="s">
        <v>207</v>
      </c>
      <c r="AI474" s="71" t="s">
        <v>207</v>
      </c>
      <c r="AJ474" s="27" t="s">
        <v>207</v>
      </c>
      <c r="AK474" s="27" t="s">
        <v>207</v>
      </c>
      <c r="AL474" s="27" t="s">
        <v>207</v>
      </c>
      <c r="AM474" s="27" t="s">
        <v>207</v>
      </c>
      <c r="AN474" s="27" t="s">
        <v>207</v>
      </c>
      <c r="AO474" s="27" t="s">
        <v>207</v>
      </c>
      <c r="AP474" s="27" t="s">
        <v>207</v>
      </c>
      <c r="AQ474" s="27" t="s">
        <v>207</v>
      </c>
      <c r="AR474" s="27" t="s">
        <v>207</v>
      </c>
      <c r="AS474" s="27" t="s">
        <v>207</v>
      </c>
      <c r="AT474" s="27" t="s">
        <v>207</v>
      </c>
      <c r="AU474" s="30" t="s">
        <v>5806</v>
      </c>
      <c r="AV474" s="27" t="s">
        <v>207</v>
      </c>
      <c r="AW474" s="74"/>
      <c r="AX474" s="1"/>
      <c r="AY474" s="17" t="s">
        <v>101</v>
      </c>
    </row>
    <row r="475" spans="1:51" ht="12.75" customHeight="1" x14ac:dyDescent="0.25">
      <c r="A475" s="5">
        <v>465</v>
      </c>
      <c r="B475" s="9">
        <v>465</v>
      </c>
      <c r="C475" s="9" t="s">
        <v>5807</v>
      </c>
      <c r="D475" s="57" t="str">
        <f>HYPERLINK("http://prodenv.dep.state.fl.us/DepNexus/public/electronic-documents/OG_465/facility!search","OG_465_Docs")</f>
        <v>OG_465_Docs</v>
      </c>
      <c r="E475" s="57" t="str">
        <f>HYPERLINK("https://ca.dep.state.fl.us/mapdirect/?focus=oilandgas&amp;zoom=query&amp;querytype=oilandgas&amp;queryvalues=OG_465","OG_465_Map")</f>
        <v>OG_465_Map</v>
      </c>
      <c r="F475" s="1" t="s">
        <v>581</v>
      </c>
      <c r="G475" s="1" t="s">
        <v>79</v>
      </c>
      <c r="H475" s="1" t="s">
        <v>3145</v>
      </c>
      <c r="I475" s="1" t="s">
        <v>4938</v>
      </c>
      <c r="J475" s="17" t="s">
        <v>82</v>
      </c>
      <c r="K475" s="17" t="s">
        <v>83</v>
      </c>
      <c r="L475" s="17"/>
      <c r="M475" s="17"/>
      <c r="N475" s="52" t="s">
        <v>4802</v>
      </c>
      <c r="O475" s="17" t="s">
        <v>86</v>
      </c>
      <c r="P475" s="17" t="s">
        <v>86</v>
      </c>
      <c r="Q475" s="81" t="s">
        <v>5808</v>
      </c>
      <c r="R475" s="11">
        <v>30.130108</v>
      </c>
      <c r="S475" s="11">
        <v>-82.096546000000004</v>
      </c>
      <c r="T475" s="11" t="s">
        <v>5809</v>
      </c>
      <c r="U475" s="11" t="s">
        <v>5810</v>
      </c>
      <c r="V475" s="17" t="s">
        <v>320</v>
      </c>
      <c r="W475" s="17" t="s">
        <v>110</v>
      </c>
      <c r="X475" s="71"/>
      <c r="Y475" s="70">
        <v>142</v>
      </c>
      <c r="Z475" s="13">
        <v>25910</v>
      </c>
      <c r="AA475" s="13">
        <v>25932</v>
      </c>
      <c r="AB475" s="13">
        <v>25953</v>
      </c>
      <c r="AC475" s="13">
        <v>25953</v>
      </c>
      <c r="AD475" s="86">
        <v>3154</v>
      </c>
      <c r="AE475" s="86">
        <v>3154</v>
      </c>
      <c r="AF475" s="70" t="s">
        <v>5811</v>
      </c>
      <c r="AG475" s="17" t="s">
        <v>5812</v>
      </c>
      <c r="AH475" s="17" t="s">
        <v>5813</v>
      </c>
      <c r="AI475" s="70" t="s">
        <v>94</v>
      </c>
      <c r="AJ475" s="17" t="s">
        <v>94</v>
      </c>
      <c r="AK475" s="17" t="s">
        <v>95</v>
      </c>
      <c r="AL475" s="17" t="s">
        <v>86</v>
      </c>
      <c r="AM475" s="17" t="s">
        <v>95</v>
      </c>
      <c r="AN475" s="17" t="s">
        <v>94</v>
      </c>
      <c r="AO475" s="17" t="s">
        <v>98</v>
      </c>
      <c r="AP475" s="17" t="s">
        <v>98</v>
      </c>
      <c r="AQ475" s="17" t="s">
        <v>98</v>
      </c>
      <c r="AR475" s="17" t="s">
        <v>94</v>
      </c>
      <c r="AS475" s="23" t="s">
        <v>5814</v>
      </c>
      <c r="AT475" s="17">
        <v>125</v>
      </c>
      <c r="AU475" s="30" t="s">
        <v>5815</v>
      </c>
      <c r="AV475" s="14">
        <v>10798</v>
      </c>
      <c r="AW475" s="74"/>
      <c r="AX475" s="1"/>
      <c r="AY475" s="17" t="s">
        <v>101</v>
      </c>
    </row>
    <row r="476" spans="1:51" ht="12.75" customHeight="1" x14ac:dyDescent="0.25">
      <c r="A476" s="5">
        <v>466</v>
      </c>
      <c r="B476" s="9">
        <v>466</v>
      </c>
      <c r="C476" s="9" t="s">
        <v>5816</v>
      </c>
      <c r="D476" s="57" t="str">
        <f>HYPERLINK("http://prodenv.dep.state.fl.us/DepNexus/public/electronic-documents/OG_466/facility!search","OG_466_Docs")</f>
        <v>OG_466_Docs</v>
      </c>
      <c r="E476" s="57" t="str">
        <f>HYPERLINK("https://ca.dep.state.fl.us/mapdirect/?focus=oilandgas&amp;zoom=query&amp;querytype=oilandgas&amp;queryvalues=OG_466","OG_466_Map")</f>
        <v>OG_466_Map</v>
      </c>
      <c r="F476" s="1" t="s">
        <v>1151</v>
      </c>
      <c r="G476" s="1" t="s">
        <v>79</v>
      </c>
      <c r="H476" s="1" t="s">
        <v>3145</v>
      </c>
      <c r="I476" s="1" t="s">
        <v>5817</v>
      </c>
      <c r="J476" s="17" t="s">
        <v>82</v>
      </c>
      <c r="K476" s="17" t="s">
        <v>83</v>
      </c>
      <c r="L476" s="17"/>
      <c r="M476" s="17" t="s">
        <v>84</v>
      </c>
      <c r="N476" s="52" t="s">
        <v>4802</v>
      </c>
      <c r="O476" s="17" t="s">
        <v>86</v>
      </c>
      <c r="P476" s="17" t="s">
        <v>86</v>
      </c>
      <c r="Q476" s="81" t="s">
        <v>5818</v>
      </c>
      <c r="R476" s="11">
        <v>30.232281</v>
      </c>
      <c r="S476" s="11">
        <v>-83.678415999999999</v>
      </c>
      <c r="T476" s="11" t="s">
        <v>5819</v>
      </c>
      <c r="U476" s="11" t="s">
        <v>5820</v>
      </c>
      <c r="V476" s="17" t="s">
        <v>5821</v>
      </c>
      <c r="W476" s="17" t="s">
        <v>110</v>
      </c>
      <c r="X476" s="70">
        <v>63</v>
      </c>
      <c r="Y476" s="70">
        <v>50</v>
      </c>
      <c r="Z476" s="13">
        <v>25917</v>
      </c>
      <c r="AA476" s="13">
        <v>25924</v>
      </c>
      <c r="AB476" s="13">
        <v>25956</v>
      </c>
      <c r="AC476" s="13">
        <v>25956</v>
      </c>
      <c r="AD476" s="86">
        <v>7036</v>
      </c>
      <c r="AE476" s="86">
        <v>7036</v>
      </c>
      <c r="AF476" s="70" t="s">
        <v>2158</v>
      </c>
      <c r="AG476" s="17" t="s">
        <v>5822</v>
      </c>
      <c r="AH476" s="17" t="s">
        <v>94</v>
      </c>
      <c r="AI476" s="70" t="s">
        <v>94</v>
      </c>
      <c r="AJ476" s="17" t="s">
        <v>94</v>
      </c>
      <c r="AK476" s="17" t="s">
        <v>95</v>
      </c>
      <c r="AL476" s="17" t="s">
        <v>94</v>
      </c>
      <c r="AM476" s="17" t="s">
        <v>94</v>
      </c>
      <c r="AN476" s="17" t="s">
        <v>94</v>
      </c>
      <c r="AO476" s="17" t="s">
        <v>98</v>
      </c>
      <c r="AP476" s="17" t="s">
        <v>98</v>
      </c>
      <c r="AQ476" s="17" t="s">
        <v>98</v>
      </c>
      <c r="AR476" s="17" t="s">
        <v>94</v>
      </c>
      <c r="AS476" s="17" t="s">
        <v>5823</v>
      </c>
      <c r="AT476" s="17">
        <v>135</v>
      </c>
      <c r="AU476" s="30" t="s">
        <v>5824</v>
      </c>
      <c r="AV476" s="14">
        <v>10912</v>
      </c>
      <c r="AW476" s="74"/>
      <c r="AX476" s="1"/>
      <c r="AY476" s="17" t="s">
        <v>101</v>
      </c>
    </row>
    <row r="477" spans="1:51" ht="12.75" customHeight="1" x14ac:dyDescent="0.25">
      <c r="A477" s="5">
        <v>467</v>
      </c>
      <c r="B477" s="9">
        <v>467</v>
      </c>
      <c r="C477" s="9" t="s">
        <v>5825</v>
      </c>
      <c r="D477" s="57" t="str">
        <f>HYPERLINK("http://prodenv.dep.state.fl.us/DepNexus/public/electronic-documents/OG_467/facility!search","OG_467_Docs")</f>
        <v>OG_467_Docs</v>
      </c>
      <c r="E477" s="57" t="str">
        <f>HYPERLINK("https://ca.dep.state.fl.us/mapdirect/?focus=oilandgas&amp;zoom=query&amp;querytype=oilandgas&amp;queryvalues=OG_467","OG_467_Map")</f>
        <v>OG_467_Map</v>
      </c>
      <c r="F477" s="1" t="s">
        <v>1752</v>
      </c>
      <c r="G477" s="1" t="s">
        <v>4496</v>
      </c>
      <c r="H477" s="1" t="s">
        <v>176</v>
      </c>
      <c r="I477" s="1" t="s">
        <v>5826</v>
      </c>
      <c r="J477" s="17" t="s">
        <v>207</v>
      </c>
      <c r="K477" s="17" t="s">
        <v>208</v>
      </c>
      <c r="L477" s="17"/>
      <c r="M477" s="17" t="s">
        <v>207</v>
      </c>
      <c r="N477" s="52" t="s">
        <v>86</v>
      </c>
      <c r="O477" s="17" t="s">
        <v>86</v>
      </c>
      <c r="P477" s="17" t="s">
        <v>86</v>
      </c>
      <c r="Q477" s="81" t="s">
        <v>5293</v>
      </c>
      <c r="R477" s="11">
        <v>26.525124000000002</v>
      </c>
      <c r="S477" s="11">
        <v>-81.563104999999993</v>
      </c>
      <c r="T477" s="11" t="s">
        <v>5827</v>
      </c>
      <c r="U477" s="11" t="s">
        <v>5828</v>
      </c>
      <c r="V477" s="17" t="s">
        <v>5829</v>
      </c>
      <c r="W477" s="17" t="s">
        <v>5830</v>
      </c>
      <c r="X477" s="70"/>
      <c r="Y477" s="70"/>
      <c r="Z477" s="13">
        <v>25917</v>
      </c>
      <c r="AA477" s="13"/>
      <c r="AB477" s="13"/>
      <c r="AC477" s="13"/>
      <c r="AD477" s="86"/>
      <c r="AE477" s="86"/>
      <c r="AF477" s="70" t="s">
        <v>207</v>
      </c>
      <c r="AG477" s="17" t="s">
        <v>207</v>
      </c>
      <c r="AH477" s="17" t="s">
        <v>207</v>
      </c>
      <c r="AI477" s="70" t="s">
        <v>207</v>
      </c>
      <c r="AJ477" s="17" t="s">
        <v>207</v>
      </c>
      <c r="AK477" s="17" t="s">
        <v>207</v>
      </c>
      <c r="AL477" s="17" t="s">
        <v>207</v>
      </c>
      <c r="AM477" s="17" t="s">
        <v>207</v>
      </c>
      <c r="AN477" s="17" t="s">
        <v>207</v>
      </c>
      <c r="AO477" s="17" t="s">
        <v>207</v>
      </c>
      <c r="AP477" s="17" t="s">
        <v>207</v>
      </c>
      <c r="AQ477" s="17" t="s">
        <v>207</v>
      </c>
      <c r="AR477" s="17" t="s">
        <v>207</v>
      </c>
      <c r="AS477" s="17" t="s">
        <v>207</v>
      </c>
      <c r="AT477" s="17" t="s">
        <v>207</v>
      </c>
      <c r="AU477" s="30" t="s">
        <v>5831</v>
      </c>
      <c r="AV477" s="14" t="s">
        <v>207</v>
      </c>
      <c r="AW477" s="74"/>
      <c r="AX477" s="1"/>
      <c r="AY477" s="17" t="s">
        <v>101</v>
      </c>
    </row>
    <row r="478" spans="1:51" ht="12.75" customHeight="1" x14ac:dyDescent="0.25">
      <c r="A478" s="5">
        <v>468</v>
      </c>
      <c r="B478" s="9">
        <v>468</v>
      </c>
      <c r="C478" s="9" t="s">
        <v>5832</v>
      </c>
      <c r="D478" s="57" t="str">
        <f>HYPERLINK("http://prodenv.dep.state.fl.us/DepNexus/public/electronic-documents/OG_468/facility!search","OG_468_Docs")</f>
        <v>OG_468_Docs</v>
      </c>
      <c r="E478" s="57" t="str">
        <f>HYPERLINK("https://ca.dep.state.fl.us/mapdirect/?focus=oilandgas&amp;zoom=query&amp;querytype=oilandgas&amp;queryvalues=OG_468","OG_468_Map")</f>
        <v>OG_468_Map</v>
      </c>
      <c r="F478" s="1" t="s">
        <v>1276</v>
      </c>
      <c r="G478" s="1" t="s">
        <v>79</v>
      </c>
      <c r="H478" s="1" t="s">
        <v>3145</v>
      </c>
      <c r="I478" s="1" t="s">
        <v>3573</v>
      </c>
      <c r="J478" s="17" t="s">
        <v>82</v>
      </c>
      <c r="K478" s="17" t="s">
        <v>83</v>
      </c>
      <c r="L478" s="17"/>
      <c r="M478" s="17" t="s">
        <v>84</v>
      </c>
      <c r="N478" s="52" t="s">
        <v>4802</v>
      </c>
      <c r="O478" s="17" t="s">
        <v>86</v>
      </c>
      <c r="P478" s="17" t="s">
        <v>86</v>
      </c>
      <c r="Q478" s="81" t="s">
        <v>5833</v>
      </c>
      <c r="R478" s="11">
        <v>30.309249999999999</v>
      </c>
      <c r="S478" s="11">
        <v>-83.849575999999999</v>
      </c>
      <c r="T478" s="11" t="s">
        <v>5834</v>
      </c>
      <c r="U478" s="11" t="s">
        <v>5835</v>
      </c>
      <c r="V478" s="17" t="s">
        <v>5836</v>
      </c>
      <c r="W478" s="17" t="s">
        <v>110</v>
      </c>
      <c r="X478" s="70"/>
      <c r="Y478" s="70">
        <v>44</v>
      </c>
      <c r="Z478" s="13">
        <v>25945</v>
      </c>
      <c r="AA478" s="13">
        <v>25959</v>
      </c>
      <c r="AB478" s="13">
        <v>26001</v>
      </c>
      <c r="AC478" s="13">
        <v>26001</v>
      </c>
      <c r="AD478" s="86">
        <v>7034</v>
      </c>
      <c r="AE478" s="86">
        <v>7034</v>
      </c>
      <c r="AF478" s="70" t="s">
        <v>554</v>
      </c>
      <c r="AG478" s="17" t="s">
        <v>5837</v>
      </c>
      <c r="AH478" s="17" t="s">
        <v>5838</v>
      </c>
      <c r="AI478" s="70" t="s">
        <v>5839</v>
      </c>
      <c r="AJ478" s="17" t="s">
        <v>94</v>
      </c>
      <c r="AK478" s="17" t="s">
        <v>95</v>
      </c>
      <c r="AL478" s="17" t="s">
        <v>94</v>
      </c>
      <c r="AM478" s="17" t="s">
        <v>94</v>
      </c>
      <c r="AN478" s="17" t="s">
        <v>86</v>
      </c>
      <c r="AO478" s="17" t="s">
        <v>98</v>
      </c>
      <c r="AP478" s="17" t="s">
        <v>98</v>
      </c>
      <c r="AQ478" s="17" t="s">
        <v>98</v>
      </c>
      <c r="AR478" s="17" t="s">
        <v>94</v>
      </c>
      <c r="AS478" s="17" t="s">
        <v>5840</v>
      </c>
      <c r="AT478" s="17">
        <v>152</v>
      </c>
      <c r="AU478" s="30" t="s">
        <v>5841</v>
      </c>
      <c r="AV478" s="14">
        <v>10915</v>
      </c>
      <c r="AW478" s="74"/>
      <c r="AX478" s="1"/>
      <c r="AY478" s="17" t="s">
        <v>101</v>
      </c>
    </row>
    <row r="479" spans="1:51" ht="12.75" customHeight="1" x14ac:dyDescent="0.25">
      <c r="A479" s="5">
        <v>469</v>
      </c>
      <c r="B479" s="9">
        <v>469</v>
      </c>
      <c r="C479" s="9" t="s">
        <v>5842</v>
      </c>
      <c r="D479" s="57" t="str">
        <f>HYPERLINK("http://prodenv.dep.state.fl.us/DepNexus/public/electronic-documents/OG_469/facility!search","OG_469_Docs")</f>
        <v>OG_469_Docs</v>
      </c>
      <c r="E479" s="57" t="str">
        <f>HYPERLINK("https://ca.dep.state.fl.us/mapdirect/?focus=oilandgas&amp;zoom=query&amp;querytype=oilandgas&amp;queryvalues=OG_469","OG_469_Map")</f>
        <v>OG_469_Map</v>
      </c>
      <c r="F479" s="1" t="s">
        <v>1797</v>
      </c>
      <c r="G479" s="1" t="s">
        <v>5133</v>
      </c>
      <c r="H479" s="1" t="s">
        <v>1363</v>
      </c>
      <c r="I479" s="1" t="s">
        <v>5843</v>
      </c>
      <c r="J479" s="17" t="s">
        <v>3646</v>
      </c>
      <c r="K479" s="17" t="s">
        <v>5525</v>
      </c>
      <c r="L479" s="17"/>
      <c r="M479" s="17"/>
      <c r="N479" s="52" t="s">
        <v>5844</v>
      </c>
      <c r="O479" s="17" t="s">
        <v>86</v>
      </c>
      <c r="P479" s="17" t="s">
        <v>86</v>
      </c>
      <c r="Q479" s="81" t="s">
        <v>5845</v>
      </c>
      <c r="R479" s="11">
        <v>30.976182999999999</v>
      </c>
      <c r="S479" s="11">
        <v>-87.152930999999995</v>
      </c>
      <c r="T479" s="11" t="s">
        <v>5846</v>
      </c>
      <c r="U479" s="11" t="s">
        <v>5847</v>
      </c>
      <c r="V479" s="17" t="s">
        <v>5848</v>
      </c>
      <c r="W479" s="17" t="s">
        <v>110</v>
      </c>
      <c r="X479" s="70">
        <v>260.7</v>
      </c>
      <c r="Y479" s="70">
        <v>240.1</v>
      </c>
      <c r="Z479" s="13">
        <v>25945</v>
      </c>
      <c r="AA479" s="13">
        <v>26412</v>
      </c>
      <c r="AB479" s="13">
        <v>26572</v>
      </c>
      <c r="AC479" s="13"/>
      <c r="AD479" s="86">
        <v>15915</v>
      </c>
      <c r="AE479" s="86">
        <v>15915</v>
      </c>
      <c r="AF479" s="70" t="s">
        <v>5849</v>
      </c>
      <c r="AG479" s="17" t="s">
        <v>5850</v>
      </c>
      <c r="AH479" s="17" t="s">
        <v>94</v>
      </c>
      <c r="AI479" s="70" t="s">
        <v>5851</v>
      </c>
      <c r="AJ479" s="17" t="s">
        <v>5852</v>
      </c>
      <c r="AK479" s="17" t="s">
        <v>95</v>
      </c>
      <c r="AL479" s="17" t="s">
        <v>5853</v>
      </c>
      <c r="AM479" s="17" t="s">
        <v>95</v>
      </c>
      <c r="AN479" s="17"/>
      <c r="AO479" s="17" t="s">
        <v>5854</v>
      </c>
      <c r="AP479" s="17" t="s">
        <v>5855</v>
      </c>
      <c r="AQ479" s="17" t="s">
        <v>5636</v>
      </c>
      <c r="AR479" s="17" t="s">
        <v>5856</v>
      </c>
      <c r="AS479" s="17"/>
      <c r="AT479" s="17"/>
      <c r="AU479" s="30" t="s">
        <v>5857</v>
      </c>
      <c r="AV479" s="14">
        <v>11368</v>
      </c>
      <c r="AW479" s="74">
        <v>302988</v>
      </c>
      <c r="AX479" s="1"/>
      <c r="AY479" s="17" t="s">
        <v>101</v>
      </c>
    </row>
    <row r="480" spans="1:51" ht="15" customHeight="1" x14ac:dyDescent="0.25">
      <c r="A480" s="5">
        <v>470</v>
      </c>
      <c r="B480" s="9">
        <v>470</v>
      </c>
      <c r="C480" s="9" t="s">
        <v>5858</v>
      </c>
      <c r="D480" s="57" t="str">
        <f>HYPERLINK("http://prodenv.dep.state.fl.us/DepNexus/public/electronic-documents/OG_470/facility!search","OG_470_Docs")</f>
        <v>OG_470_Docs</v>
      </c>
      <c r="E480" s="57" t="str">
        <f>HYPERLINK("https://ca.dep.state.fl.us/mapdirect/?focus=oilandgas&amp;zoom=query&amp;querytype=oilandgas&amp;queryvalues=OG_470","OG_470_Map")</f>
        <v>OG_470_Map</v>
      </c>
      <c r="F480" s="1" t="s">
        <v>1797</v>
      </c>
      <c r="G480" s="1" t="s">
        <v>5133</v>
      </c>
      <c r="H480" s="1" t="s">
        <v>1363</v>
      </c>
      <c r="I480" s="1" t="s">
        <v>5859</v>
      </c>
      <c r="J480" s="17" t="s">
        <v>5135</v>
      </c>
      <c r="K480" s="17" t="s">
        <v>4266</v>
      </c>
      <c r="L480" s="17"/>
      <c r="M480" s="17"/>
      <c r="N480" s="52" t="s">
        <v>5860</v>
      </c>
      <c r="O480" s="17" t="s">
        <v>86</v>
      </c>
      <c r="P480" s="17" t="s">
        <v>86</v>
      </c>
      <c r="Q480" s="81" t="s">
        <v>5861</v>
      </c>
      <c r="R480" s="11">
        <v>30.970841</v>
      </c>
      <c r="S480" s="11">
        <v>-87.153063000000003</v>
      </c>
      <c r="T480" s="11" t="s">
        <v>5862</v>
      </c>
      <c r="U480" s="11" t="s">
        <v>5863</v>
      </c>
      <c r="V480" s="17" t="s">
        <v>5864</v>
      </c>
      <c r="W480" s="17" t="s">
        <v>110</v>
      </c>
      <c r="X480" s="70">
        <v>240.4</v>
      </c>
      <c r="Y480" s="70">
        <v>215</v>
      </c>
      <c r="Z480" s="13">
        <v>25945</v>
      </c>
      <c r="AA480" s="13">
        <v>26104</v>
      </c>
      <c r="AB480" s="13">
        <v>26572</v>
      </c>
      <c r="AC480" s="13"/>
      <c r="AD480" s="86">
        <v>15845</v>
      </c>
      <c r="AE480" s="86">
        <v>15845</v>
      </c>
      <c r="AF480" s="70" t="s">
        <v>333</v>
      </c>
      <c r="AG480" s="17" t="s">
        <v>5865</v>
      </c>
      <c r="AH480" s="17" t="s">
        <v>94</v>
      </c>
      <c r="AI480" s="70" t="s">
        <v>5866</v>
      </c>
      <c r="AJ480" s="17" t="s">
        <v>5867</v>
      </c>
      <c r="AK480" s="17" t="s">
        <v>95</v>
      </c>
      <c r="AL480" s="17" t="s">
        <v>5868</v>
      </c>
      <c r="AM480" s="17" t="s">
        <v>95</v>
      </c>
      <c r="AN480" s="17" t="s">
        <v>86</v>
      </c>
      <c r="AO480" s="17" t="s">
        <v>5869</v>
      </c>
      <c r="AP480" s="17" t="s">
        <v>5870</v>
      </c>
      <c r="AQ480" s="17" t="s">
        <v>5617</v>
      </c>
      <c r="AR480" s="17" t="s">
        <v>5871</v>
      </c>
      <c r="AS480" s="17"/>
      <c r="AT480" s="17"/>
      <c r="AU480" s="30" t="s">
        <v>5872</v>
      </c>
      <c r="AV480" s="14">
        <v>11165</v>
      </c>
      <c r="AW480" s="74">
        <v>302984</v>
      </c>
      <c r="AX480" s="1" t="s">
        <v>5873</v>
      </c>
      <c r="AY480" s="17" t="s">
        <v>101</v>
      </c>
    </row>
    <row r="481" spans="1:51" ht="15" customHeight="1" x14ac:dyDescent="0.25">
      <c r="A481" s="5">
        <v>471</v>
      </c>
      <c r="B481" s="9">
        <v>471</v>
      </c>
      <c r="C481" s="9" t="s">
        <v>5874</v>
      </c>
      <c r="D481" s="57" t="str">
        <f>HYPERLINK("http://prodenv.dep.state.fl.us/DepNexus/public/electronic-documents/OG_471/facility!search","OG_471_Docs")</f>
        <v>OG_471_Docs</v>
      </c>
      <c r="E481" s="57" t="str">
        <f>HYPERLINK("https://ca.dep.state.fl.us/mapdirect/?focus=oilandgas&amp;zoom=query&amp;querytype=oilandgas&amp;queryvalues=OG_471","OG_471_Map")</f>
        <v>OG_471_Map</v>
      </c>
      <c r="F481" s="1" t="s">
        <v>1797</v>
      </c>
      <c r="G481" s="1" t="s">
        <v>5133</v>
      </c>
      <c r="H481" s="1" t="s">
        <v>1363</v>
      </c>
      <c r="I481" s="1" t="s">
        <v>5875</v>
      </c>
      <c r="J481" s="17" t="s">
        <v>3646</v>
      </c>
      <c r="K481" s="17" t="s">
        <v>412</v>
      </c>
      <c r="L481" s="17"/>
      <c r="M481" s="17"/>
      <c r="N481" s="52" t="s">
        <v>5876</v>
      </c>
      <c r="O481" s="17" t="s">
        <v>86</v>
      </c>
      <c r="P481" s="17" t="s">
        <v>86</v>
      </c>
      <c r="Q481" s="81" t="s">
        <v>5877</v>
      </c>
      <c r="R481" s="11">
        <v>30.970911000000001</v>
      </c>
      <c r="S481" s="11">
        <v>-87.160628000000003</v>
      </c>
      <c r="T481" s="11" t="s">
        <v>5878</v>
      </c>
      <c r="U481" s="11" t="s">
        <v>5879</v>
      </c>
      <c r="V481" s="17" t="s">
        <v>5880</v>
      </c>
      <c r="W481" s="17" t="s">
        <v>110</v>
      </c>
      <c r="X481" s="70">
        <v>267</v>
      </c>
      <c r="Y481" s="70">
        <v>242</v>
      </c>
      <c r="Z481" s="13">
        <v>25945</v>
      </c>
      <c r="AA481" s="13">
        <v>25945</v>
      </c>
      <c r="AB481" s="13">
        <v>26274</v>
      </c>
      <c r="AC481" s="13"/>
      <c r="AD481" s="86">
        <v>15823</v>
      </c>
      <c r="AE481" s="86">
        <v>15823</v>
      </c>
      <c r="AF481" s="70" t="s">
        <v>5661</v>
      </c>
      <c r="AG481" s="17" t="s">
        <v>5881</v>
      </c>
      <c r="AH481" s="17" t="s">
        <v>94</v>
      </c>
      <c r="AI481" s="70" t="s">
        <v>5882</v>
      </c>
      <c r="AJ481" s="17" t="s">
        <v>5883</v>
      </c>
      <c r="AK481" s="17" t="s">
        <v>95</v>
      </c>
      <c r="AL481" s="17" t="s">
        <v>5884</v>
      </c>
      <c r="AM481" s="17" t="s">
        <v>95</v>
      </c>
      <c r="AN481" s="17" t="s">
        <v>86</v>
      </c>
      <c r="AO481" s="17" t="s">
        <v>5885</v>
      </c>
      <c r="AP481" s="17" t="s">
        <v>5886</v>
      </c>
      <c r="AQ481" s="17" t="s">
        <v>5887</v>
      </c>
      <c r="AR481" s="17" t="s">
        <v>5888</v>
      </c>
      <c r="AS481" s="17"/>
      <c r="AT481" s="17">
        <v>272</v>
      </c>
      <c r="AU481" s="30" t="s">
        <v>5889</v>
      </c>
      <c r="AV481" s="14">
        <v>10916</v>
      </c>
      <c r="AW481" s="74">
        <v>309839</v>
      </c>
      <c r="AX481" s="1"/>
      <c r="AY481" s="17" t="s">
        <v>101</v>
      </c>
    </row>
    <row r="482" spans="1:51" ht="15" customHeight="1" x14ac:dyDescent="0.25">
      <c r="A482" s="5">
        <v>472</v>
      </c>
      <c r="B482" s="9">
        <v>472</v>
      </c>
      <c r="C482" s="9" t="s">
        <v>5890</v>
      </c>
      <c r="D482" s="57" t="str">
        <f>HYPERLINK("http://prodenv.dep.state.fl.us/DepNexus/public/electronic-documents/OG_472/facility!search","OG_472_Docs")</f>
        <v>OG_472_Docs</v>
      </c>
      <c r="E482" s="57" t="str">
        <f>HYPERLINK("https://ca.dep.state.fl.us/mapdirect/?focus=oilandgas&amp;zoom=query&amp;querytype=oilandgas&amp;queryvalues=OG_472","OG_472_Map")</f>
        <v>OG_472_Map</v>
      </c>
      <c r="F482" s="1" t="s">
        <v>2222</v>
      </c>
      <c r="G482" s="1" t="s">
        <v>79</v>
      </c>
      <c r="H482" s="1" t="s">
        <v>5248</v>
      </c>
      <c r="I482" s="1" t="s">
        <v>2560</v>
      </c>
      <c r="J482" s="17" t="s">
        <v>82</v>
      </c>
      <c r="K482" s="17" t="s">
        <v>83</v>
      </c>
      <c r="L482" s="17"/>
      <c r="M482" s="17" t="s">
        <v>101</v>
      </c>
      <c r="N482" s="52" t="s">
        <v>5891</v>
      </c>
      <c r="O482" s="17" t="s">
        <v>86</v>
      </c>
      <c r="P482" s="17" t="s">
        <v>86</v>
      </c>
      <c r="Q482" s="81" t="s">
        <v>5892</v>
      </c>
      <c r="R482" s="11">
        <v>26.810449999999999</v>
      </c>
      <c r="S482" s="11">
        <v>-81.699372999999994</v>
      </c>
      <c r="T482" s="11" t="s">
        <v>5893</v>
      </c>
      <c r="U482" s="11" t="s">
        <v>5894</v>
      </c>
      <c r="V482" s="17" t="s">
        <v>5895</v>
      </c>
      <c r="W482" s="17" t="s">
        <v>110</v>
      </c>
      <c r="X482" s="70">
        <v>47</v>
      </c>
      <c r="Y482" s="70">
        <v>29</v>
      </c>
      <c r="Z482" s="13">
        <v>25952</v>
      </c>
      <c r="AA482" s="13">
        <v>25952</v>
      </c>
      <c r="AB482" s="13">
        <v>25992</v>
      </c>
      <c r="AC482" s="13">
        <v>25992</v>
      </c>
      <c r="AD482" s="86">
        <v>13000</v>
      </c>
      <c r="AE482" s="86">
        <v>13000</v>
      </c>
      <c r="AF482" s="70" t="s">
        <v>5896</v>
      </c>
      <c r="AG482" s="17" t="s">
        <v>5897</v>
      </c>
      <c r="AH482" s="17" t="s">
        <v>5898</v>
      </c>
      <c r="AI482" s="70" t="s">
        <v>94</v>
      </c>
      <c r="AJ482" s="17" t="s">
        <v>94</v>
      </c>
      <c r="AK482" s="17" t="s">
        <v>95</v>
      </c>
      <c r="AL482" s="17" t="s">
        <v>5899</v>
      </c>
      <c r="AM482" s="17" t="s">
        <v>94</v>
      </c>
      <c r="AN482" s="17" t="s">
        <v>94</v>
      </c>
      <c r="AO482" s="17" t="s">
        <v>98</v>
      </c>
      <c r="AP482" s="17" t="s">
        <v>98</v>
      </c>
      <c r="AQ482" s="17" t="s">
        <v>98</v>
      </c>
      <c r="AR482" s="17" t="s">
        <v>94</v>
      </c>
      <c r="AS482" s="17" t="s">
        <v>5900</v>
      </c>
      <c r="AT482" s="17">
        <v>207</v>
      </c>
      <c r="AU482" s="30" t="s">
        <v>5901</v>
      </c>
      <c r="AV482" s="14">
        <v>10831</v>
      </c>
      <c r="AW482" s="74"/>
      <c r="AX482" s="1"/>
      <c r="AY482" s="17" t="s">
        <v>101</v>
      </c>
    </row>
    <row r="483" spans="1:51" ht="12.75" customHeight="1" x14ac:dyDescent="0.25">
      <c r="A483" s="5">
        <v>473</v>
      </c>
      <c r="B483" s="9">
        <v>473</v>
      </c>
      <c r="C483" s="9" t="s">
        <v>5902</v>
      </c>
      <c r="D483" s="57" t="str">
        <f>HYPERLINK("http://prodenv.dep.state.fl.us/DepNexus/public/electronic-documents/OG_473/facility!search","OG_473_Docs")</f>
        <v>OG_473_Docs</v>
      </c>
      <c r="E483" s="57" t="str">
        <f>HYPERLINK("https://ca.dep.state.fl.us/mapdirect/?focus=oilandgas&amp;zoom=query&amp;querytype=oilandgas&amp;queryvalues=OG_473","OG_473_Map")</f>
        <v>OG_473_Map</v>
      </c>
      <c r="F483" s="1" t="s">
        <v>1797</v>
      </c>
      <c r="G483" s="1" t="s">
        <v>5133</v>
      </c>
      <c r="H483" s="1" t="s">
        <v>176</v>
      </c>
      <c r="I483" s="1" t="s">
        <v>5903</v>
      </c>
      <c r="J483" s="17" t="s">
        <v>268</v>
      </c>
      <c r="K483" s="17" t="s">
        <v>2105</v>
      </c>
      <c r="L483" s="17"/>
      <c r="M483" s="17"/>
      <c r="N483" s="52" t="s">
        <v>5904</v>
      </c>
      <c r="O483" s="17" t="s">
        <v>86</v>
      </c>
      <c r="P483" s="17" t="s">
        <v>86</v>
      </c>
      <c r="Q483" s="81" t="s">
        <v>5905</v>
      </c>
      <c r="R483" s="11">
        <v>30.963726000000001</v>
      </c>
      <c r="S483" s="11">
        <v>-87.167479999999998</v>
      </c>
      <c r="T483" s="11" t="s">
        <v>5906</v>
      </c>
      <c r="U483" s="11" t="s">
        <v>5907</v>
      </c>
      <c r="V483" s="17" t="s">
        <v>5908</v>
      </c>
      <c r="W483" s="17" t="s">
        <v>110</v>
      </c>
      <c r="X483" s="70">
        <v>190.1</v>
      </c>
      <c r="Y483" s="70">
        <v>173.5</v>
      </c>
      <c r="Z483" s="13">
        <v>25959</v>
      </c>
      <c r="AA483" s="13">
        <v>25965</v>
      </c>
      <c r="AB483" s="13">
        <v>26153</v>
      </c>
      <c r="AC483" s="13">
        <v>34309</v>
      </c>
      <c r="AD483" s="86">
        <v>15777</v>
      </c>
      <c r="AE483" s="86">
        <v>15777</v>
      </c>
      <c r="AF483" s="70" t="s">
        <v>5909</v>
      </c>
      <c r="AG483" s="17" t="s">
        <v>5910</v>
      </c>
      <c r="AH483" s="17" t="s">
        <v>94</v>
      </c>
      <c r="AI483" s="70" t="s">
        <v>5911</v>
      </c>
      <c r="AJ483" s="17" t="s">
        <v>5912</v>
      </c>
      <c r="AK483" s="17" t="s">
        <v>95</v>
      </c>
      <c r="AL483" s="17" t="s">
        <v>5913</v>
      </c>
      <c r="AM483" s="17" t="s">
        <v>94</v>
      </c>
      <c r="AN483" s="17" t="s">
        <v>94</v>
      </c>
      <c r="AO483" s="17" t="s">
        <v>5914</v>
      </c>
      <c r="AP483" s="17" t="s">
        <v>5915</v>
      </c>
      <c r="AQ483" s="17" t="s">
        <v>3914</v>
      </c>
      <c r="AR483" s="17" t="s">
        <v>5916</v>
      </c>
      <c r="AS483" s="17" t="s">
        <v>5917</v>
      </c>
      <c r="AT483" s="17"/>
      <c r="AU483" s="30" t="s">
        <v>5918</v>
      </c>
      <c r="AV483" s="14">
        <v>10911</v>
      </c>
      <c r="AW483" s="74"/>
      <c r="AX483" s="1"/>
      <c r="AY483" s="17" t="s">
        <v>101</v>
      </c>
    </row>
    <row r="484" spans="1:51" ht="15" customHeight="1" x14ac:dyDescent="0.25">
      <c r="A484" s="5">
        <v>474</v>
      </c>
      <c r="B484" s="9">
        <v>474</v>
      </c>
      <c r="C484" s="9" t="s">
        <v>5919</v>
      </c>
      <c r="D484" s="57" t="str">
        <f>HYPERLINK("http://prodenv.dep.state.fl.us/DepNexus/public/electronic-documents/OG_474/facility!search","OG_474_Docs")</f>
        <v>OG_474_Docs</v>
      </c>
      <c r="E484" s="57" t="str">
        <f>HYPERLINK("https://ca.dep.state.fl.us/mapdirect/?focus=oilandgas&amp;zoom=query&amp;querytype=oilandgas&amp;queryvalues=OG_474","OG_474_Map")</f>
        <v>OG_474_Map</v>
      </c>
      <c r="F484" s="1" t="s">
        <v>1682</v>
      </c>
      <c r="G484" s="1" t="s">
        <v>5133</v>
      </c>
      <c r="H484" s="1" t="s">
        <v>1363</v>
      </c>
      <c r="I484" s="1" t="s">
        <v>5920</v>
      </c>
      <c r="J484" s="17" t="s">
        <v>3646</v>
      </c>
      <c r="K484" s="17" t="s">
        <v>5525</v>
      </c>
      <c r="L484" s="17"/>
      <c r="M484" s="17"/>
      <c r="N484" s="52" t="s">
        <v>5921</v>
      </c>
      <c r="O484" s="17" t="s">
        <v>86</v>
      </c>
      <c r="P484" s="17" t="s">
        <v>86</v>
      </c>
      <c r="Q484" s="81" t="s">
        <v>5922</v>
      </c>
      <c r="R484" s="11">
        <v>30.995227</v>
      </c>
      <c r="S484" s="11">
        <v>-87.200286000000006</v>
      </c>
      <c r="T484" s="11" t="s">
        <v>5923</v>
      </c>
      <c r="U484" s="11" t="s">
        <v>5924</v>
      </c>
      <c r="V484" s="17" t="s">
        <v>5582</v>
      </c>
      <c r="W484" s="17"/>
      <c r="X484" s="70">
        <v>89.66</v>
      </c>
      <c r="Y484" s="70">
        <v>60.76</v>
      </c>
      <c r="Z484" s="13">
        <v>25980</v>
      </c>
      <c r="AA484" s="13">
        <v>26386</v>
      </c>
      <c r="AB484" s="13">
        <v>26518</v>
      </c>
      <c r="AC484" s="13"/>
      <c r="AD484" s="86">
        <v>15811</v>
      </c>
      <c r="AE484" s="86">
        <v>15813</v>
      </c>
      <c r="AF484" s="70" t="s">
        <v>5811</v>
      </c>
      <c r="AG484" s="17" t="s">
        <v>5925</v>
      </c>
      <c r="AH484" s="17" t="s">
        <v>94</v>
      </c>
      <c r="AI484" s="70" t="s">
        <v>5926</v>
      </c>
      <c r="AJ484" s="17" t="s">
        <v>5927</v>
      </c>
      <c r="AK484" s="17" t="s">
        <v>94</v>
      </c>
      <c r="AL484" s="17" t="s">
        <v>5928</v>
      </c>
      <c r="AM484" s="17" t="s">
        <v>95</v>
      </c>
      <c r="AN484" s="17" t="s">
        <v>94</v>
      </c>
      <c r="AO484" s="17" t="s">
        <v>5929</v>
      </c>
      <c r="AP484" s="17" t="s">
        <v>5930</v>
      </c>
      <c r="AQ484" s="17" t="s">
        <v>5931</v>
      </c>
      <c r="AR484" s="17" t="s">
        <v>5932</v>
      </c>
      <c r="AS484" s="17"/>
      <c r="AT484" s="17"/>
      <c r="AU484" s="30" t="s">
        <v>5933</v>
      </c>
      <c r="AV484" s="14" t="s">
        <v>94</v>
      </c>
      <c r="AW484" s="74">
        <v>309824</v>
      </c>
      <c r="AX484" s="1"/>
      <c r="AY484" s="17" t="s">
        <v>101</v>
      </c>
    </row>
    <row r="485" spans="1:51" ht="15" customHeight="1" x14ac:dyDescent="0.25">
      <c r="A485" s="5">
        <v>475</v>
      </c>
      <c r="B485" s="9">
        <v>475</v>
      </c>
      <c r="C485" s="9" t="s">
        <v>5934</v>
      </c>
      <c r="D485" s="57" t="str">
        <f>HYPERLINK("http://prodenv.dep.state.fl.us/DepNexus/public/electronic-documents/OG_475/facility!search","OG_475_Docs")</f>
        <v>OG_475_Docs</v>
      </c>
      <c r="E485" s="57" t="str">
        <f>HYPERLINK("https://ca.dep.state.fl.us/mapdirect/?focus=oilandgas&amp;zoom=query&amp;querytype=oilandgas&amp;queryvalues=OG_475","OG_475_Map")</f>
        <v>OG_475_Map</v>
      </c>
      <c r="F485" s="1" t="s">
        <v>2222</v>
      </c>
      <c r="G485" s="1" t="s">
        <v>79</v>
      </c>
      <c r="H485" s="1" t="s">
        <v>5935</v>
      </c>
      <c r="I485" s="1" t="s">
        <v>5936</v>
      </c>
      <c r="J485" s="17" t="s">
        <v>82</v>
      </c>
      <c r="K485" s="17" t="s">
        <v>83</v>
      </c>
      <c r="L485" s="17"/>
      <c r="M485" s="17" t="s">
        <v>101</v>
      </c>
      <c r="N485" s="52" t="s">
        <v>5415</v>
      </c>
      <c r="O485" s="17" t="s">
        <v>86</v>
      </c>
      <c r="P485" s="17" t="s">
        <v>86</v>
      </c>
      <c r="Q485" s="81" t="s">
        <v>5937</v>
      </c>
      <c r="R485" s="11">
        <v>26.927068999999999</v>
      </c>
      <c r="S485" s="11">
        <v>-81.813828999999998</v>
      </c>
      <c r="T485" s="11" t="s">
        <v>5938</v>
      </c>
      <c r="U485" s="11" t="s">
        <v>5939</v>
      </c>
      <c r="V485" s="17" t="s">
        <v>5940</v>
      </c>
      <c r="W485" s="17" t="s">
        <v>110</v>
      </c>
      <c r="X485" s="70">
        <v>58</v>
      </c>
      <c r="Y485" s="70">
        <v>40</v>
      </c>
      <c r="Z485" s="13">
        <v>25987</v>
      </c>
      <c r="AA485" s="13">
        <v>26001</v>
      </c>
      <c r="AB485" s="13">
        <v>26054</v>
      </c>
      <c r="AC485" s="13">
        <v>26054</v>
      </c>
      <c r="AD485" s="86">
        <v>13232</v>
      </c>
      <c r="AE485" s="86">
        <v>13232</v>
      </c>
      <c r="AF485" s="70" t="s">
        <v>5941</v>
      </c>
      <c r="AG485" s="17" t="s">
        <v>5942</v>
      </c>
      <c r="AH485" s="17" t="s">
        <v>5943</v>
      </c>
      <c r="AI485" s="70" t="s">
        <v>94</v>
      </c>
      <c r="AJ485" s="17" t="s">
        <v>94</v>
      </c>
      <c r="AK485" s="17" t="s">
        <v>95</v>
      </c>
      <c r="AL485" s="17" t="s">
        <v>5944</v>
      </c>
      <c r="AM485" s="17" t="s">
        <v>94</v>
      </c>
      <c r="AN485" s="17" t="s">
        <v>94</v>
      </c>
      <c r="AO485" s="17" t="s">
        <v>98</v>
      </c>
      <c r="AP485" s="17" t="s">
        <v>98</v>
      </c>
      <c r="AQ485" s="17" t="s">
        <v>98</v>
      </c>
      <c r="AR485" s="17" t="s">
        <v>94</v>
      </c>
      <c r="AS485" s="17" t="s">
        <v>5945</v>
      </c>
      <c r="AT485" s="17">
        <v>205</v>
      </c>
      <c r="AU485" s="30" t="s">
        <v>5946</v>
      </c>
      <c r="AV485" s="14">
        <v>10862</v>
      </c>
      <c r="AW485" s="74"/>
      <c r="AX485" s="1"/>
      <c r="AY485" s="17" t="s">
        <v>101</v>
      </c>
    </row>
    <row r="486" spans="1:51" ht="12.75" customHeight="1" x14ac:dyDescent="0.25">
      <c r="A486" s="5">
        <v>476</v>
      </c>
      <c r="B486" s="9">
        <v>476</v>
      </c>
      <c r="C486" s="9" t="s">
        <v>5947</v>
      </c>
      <c r="D486" s="57" t="str">
        <f>HYPERLINK("http://prodenv.dep.state.fl.us/DepNexus/public/electronic-documents/OG_476/facility!search","OG_476_Docs")</f>
        <v>OG_476_Docs</v>
      </c>
      <c r="E486" s="57" t="str">
        <f>HYPERLINK("https://ca.dep.state.fl.us/mapdirect/?focus=oilandgas&amp;zoom=query&amp;querytype=oilandgas&amp;queryvalues=OG_476","OG_476_Map")</f>
        <v>OG_476_Map</v>
      </c>
      <c r="F486" s="1" t="s">
        <v>1797</v>
      </c>
      <c r="G486" s="1" t="s">
        <v>79</v>
      </c>
      <c r="H486" s="1" t="s">
        <v>2951</v>
      </c>
      <c r="I486" s="1" t="s">
        <v>5948</v>
      </c>
      <c r="J486" s="17" t="s">
        <v>82</v>
      </c>
      <c r="K486" s="17" t="s">
        <v>83</v>
      </c>
      <c r="L486" s="17"/>
      <c r="M486" s="17"/>
      <c r="N486" s="52" t="s">
        <v>5949</v>
      </c>
      <c r="O486" s="17" t="s">
        <v>86</v>
      </c>
      <c r="P486" s="17" t="s">
        <v>86</v>
      </c>
      <c r="Q486" s="81" t="s">
        <v>5950</v>
      </c>
      <c r="R486" s="11">
        <v>30.919910000000002</v>
      </c>
      <c r="S486" s="11">
        <v>-87.118295000000003</v>
      </c>
      <c r="T486" s="11" t="s">
        <v>5951</v>
      </c>
      <c r="U486" s="11" t="s">
        <v>5952</v>
      </c>
      <c r="V486" s="17" t="s">
        <v>5953</v>
      </c>
      <c r="W486" s="17" t="s">
        <v>110</v>
      </c>
      <c r="X486" s="70">
        <v>210.6</v>
      </c>
      <c r="Y486" s="70">
        <v>184.1</v>
      </c>
      <c r="Z486" s="13">
        <v>25995</v>
      </c>
      <c r="AA486" s="13">
        <v>26004</v>
      </c>
      <c r="AB486" s="13"/>
      <c r="AC486" s="13">
        <v>26095</v>
      </c>
      <c r="AD486" s="86">
        <v>16607</v>
      </c>
      <c r="AE486" s="86">
        <v>16607</v>
      </c>
      <c r="AF486" s="70" t="s">
        <v>321</v>
      </c>
      <c r="AG486" s="17" t="s">
        <v>5954</v>
      </c>
      <c r="AH486" s="17" t="s">
        <v>94</v>
      </c>
      <c r="AI486" s="70" t="s">
        <v>94</v>
      </c>
      <c r="AJ486" s="17" t="s">
        <v>94</v>
      </c>
      <c r="AK486" s="17" t="s">
        <v>95</v>
      </c>
      <c r="AL486" s="17" t="s">
        <v>5955</v>
      </c>
      <c r="AM486" s="17" t="s">
        <v>95</v>
      </c>
      <c r="AN486" s="17" t="s">
        <v>94</v>
      </c>
      <c r="AO486" s="17" t="s">
        <v>98</v>
      </c>
      <c r="AP486" s="17" t="s">
        <v>98</v>
      </c>
      <c r="AQ486" s="17" t="s">
        <v>98</v>
      </c>
      <c r="AR486" s="17" t="s">
        <v>94</v>
      </c>
      <c r="AS486" s="17" t="s">
        <v>5956</v>
      </c>
      <c r="AT486" s="17"/>
      <c r="AU486" s="30" t="s">
        <v>5957</v>
      </c>
      <c r="AV486" s="14">
        <v>10885</v>
      </c>
      <c r="AW486" s="74"/>
      <c r="AX486" s="1"/>
      <c r="AY486" s="17" t="s">
        <v>101</v>
      </c>
    </row>
    <row r="487" spans="1:51" ht="12.75" customHeight="1" x14ac:dyDescent="0.25">
      <c r="A487" s="5">
        <v>477</v>
      </c>
      <c r="B487" s="9">
        <v>477</v>
      </c>
      <c r="C487" s="9" t="s">
        <v>5958</v>
      </c>
      <c r="D487" s="57" t="str">
        <f>HYPERLINK("http://prodenv.dep.state.fl.us/DepNexus/public/electronic-documents/OG_477/facility!search","OG_477_Docs")</f>
        <v>OG_477_Docs</v>
      </c>
      <c r="E487" s="57" t="str">
        <f>HYPERLINK("https://ca.dep.state.fl.us/mapdirect/?focus=oilandgas&amp;zoom=query&amp;querytype=oilandgas&amp;queryvalues=OG_477","OG_477_Map")</f>
        <v>OG_477_Map</v>
      </c>
      <c r="F487" s="1" t="s">
        <v>265</v>
      </c>
      <c r="G487" s="1" t="s">
        <v>79</v>
      </c>
      <c r="H487" s="1" t="s">
        <v>5248</v>
      </c>
      <c r="I487" s="1" t="s">
        <v>5959</v>
      </c>
      <c r="J487" s="17" t="s">
        <v>82</v>
      </c>
      <c r="K487" s="17" t="s">
        <v>83</v>
      </c>
      <c r="L487" s="17" t="s">
        <v>101</v>
      </c>
      <c r="M487" s="17" t="s">
        <v>101</v>
      </c>
      <c r="N487" s="52" t="s">
        <v>4201</v>
      </c>
      <c r="O487" s="17" t="s">
        <v>270</v>
      </c>
      <c r="P487" s="17" t="s">
        <v>86</v>
      </c>
      <c r="Q487" s="81" t="s">
        <v>5960</v>
      </c>
      <c r="R487" s="11">
        <v>26.391957000000001</v>
      </c>
      <c r="S487" s="11">
        <v>-81.519052000000002</v>
      </c>
      <c r="T487" s="11" t="s">
        <v>5961</v>
      </c>
      <c r="U487" s="11" t="s">
        <v>5962</v>
      </c>
      <c r="V487" s="17" t="s">
        <v>5963</v>
      </c>
      <c r="W487" s="17" t="s">
        <v>110</v>
      </c>
      <c r="X487" s="70">
        <v>39.6</v>
      </c>
      <c r="Y487" s="70">
        <v>21</v>
      </c>
      <c r="Z487" s="13">
        <v>26008</v>
      </c>
      <c r="AA487" s="13">
        <v>26098</v>
      </c>
      <c r="AB487" s="13"/>
      <c r="AC487" s="13">
        <v>26250</v>
      </c>
      <c r="AD487" s="86">
        <v>12050</v>
      </c>
      <c r="AE487" s="86">
        <v>12050</v>
      </c>
      <c r="AF487" s="70" t="s">
        <v>3961</v>
      </c>
      <c r="AG487" s="17" t="s">
        <v>5942</v>
      </c>
      <c r="AH487" s="17" t="s">
        <v>5964</v>
      </c>
      <c r="AI487" s="70" t="s">
        <v>5965</v>
      </c>
      <c r="AJ487" s="17" t="s">
        <v>94</v>
      </c>
      <c r="AK487" s="17" t="s">
        <v>95</v>
      </c>
      <c r="AL487" s="17" t="s">
        <v>5966</v>
      </c>
      <c r="AM487" s="17" t="s">
        <v>94</v>
      </c>
      <c r="AN487" s="17" t="s">
        <v>5967</v>
      </c>
      <c r="AO487" s="17" t="s">
        <v>5968</v>
      </c>
      <c r="AP487" s="17" t="s">
        <v>5969</v>
      </c>
      <c r="AQ487" s="17" t="s">
        <v>425</v>
      </c>
      <c r="AR487" s="17" t="s">
        <v>5970</v>
      </c>
      <c r="AS487" s="17" t="s">
        <v>5971</v>
      </c>
      <c r="AT487" s="17"/>
      <c r="AU487" s="30" t="s">
        <v>5972</v>
      </c>
      <c r="AV487" s="14">
        <v>10985</v>
      </c>
      <c r="AW487" s="74"/>
      <c r="AX487" s="1"/>
      <c r="AY487" s="17" t="s">
        <v>101</v>
      </c>
    </row>
    <row r="488" spans="1:51" ht="12.75" customHeight="1" x14ac:dyDescent="0.25">
      <c r="A488" s="5">
        <v>478</v>
      </c>
      <c r="B488" s="9">
        <v>478</v>
      </c>
      <c r="C488" s="9" t="s">
        <v>5973</v>
      </c>
      <c r="D488" s="57" t="str">
        <f>HYPERLINK("http://prodenv.dep.state.fl.us/DepNexus/public/electronic-documents/OG_478/facility!search","OG_478_Docs")</f>
        <v>OG_478_Docs</v>
      </c>
      <c r="E488" s="57" t="str">
        <f>HYPERLINK("https://ca.dep.state.fl.us/mapdirect/?focus=oilandgas&amp;zoom=query&amp;querytype=oilandgas&amp;queryvalues=OG_478","OG_478_Map")</f>
        <v>OG_478_Map</v>
      </c>
      <c r="F488" s="1" t="s">
        <v>1752</v>
      </c>
      <c r="G488" s="1" t="s">
        <v>4496</v>
      </c>
      <c r="H488" s="1" t="s">
        <v>3669</v>
      </c>
      <c r="I488" s="1" t="s">
        <v>5974</v>
      </c>
      <c r="J488" s="17" t="s">
        <v>268</v>
      </c>
      <c r="K488" s="17" t="s">
        <v>5975</v>
      </c>
      <c r="L488" s="17"/>
      <c r="M488" s="17"/>
      <c r="N488" s="52" t="s">
        <v>5976</v>
      </c>
      <c r="O488" s="17" t="s">
        <v>86</v>
      </c>
      <c r="P488" s="17" t="s">
        <v>86</v>
      </c>
      <c r="Q488" s="81" t="s">
        <v>5085</v>
      </c>
      <c r="R488" s="11">
        <v>26.517655999999999</v>
      </c>
      <c r="S488" s="11">
        <v>-81.526732999999993</v>
      </c>
      <c r="T488" s="11" t="s">
        <v>5977</v>
      </c>
      <c r="U488" s="11" t="s">
        <v>5978</v>
      </c>
      <c r="V488" s="17" t="s">
        <v>5979</v>
      </c>
      <c r="W488" s="17" t="s">
        <v>5980</v>
      </c>
      <c r="X488" s="70">
        <v>44</v>
      </c>
      <c r="Y488" s="70">
        <v>28</v>
      </c>
      <c r="Z488" s="13">
        <v>26008</v>
      </c>
      <c r="AA488" s="13">
        <v>26003</v>
      </c>
      <c r="AB488" s="13">
        <v>26073</v>
      </c>
      <c r="AC488" s="13">
        <v>33561</v>
      </c>
      <c r="AD488" s="86">
        <v>11541</v>
      </c>
      <c r="AE488" s="86">
        <v>11629</v>
      </c>
      <c r="AF488" s="70" t="s">
        <v>5190</v>
      </c>
      <c r="AG488" s="17" t="s">
        <v>5981</v>
      </c>
      <c r="AH488" s="17" t="s">
        <v>5982</v>
      </c>
      <c r="AI488" s="70" t="s">
        <v>5983</v>
      </c>
      <c r="AJ488" s="17" t="s">
        <v>5984</v>
      </c>
      <c r="AK488" s="17" t="s">
        <v>95</v>
      </c>
      <c r="AL488" s="17" t="s">
        <v>5985</v>
      </c>
      <c r="AM488" s="17" t="s">
        <v>94</v>
      </c>
      <c r="AN488" s="17" t="s">
        <v>94</v>
      </c>
      <c r="AO488" s="17" t="s">
        <v>5986</v>
      </c>
      <c r="AP488" s="17" t="s">
        <v>94</v>
      </c>
      <c r="AQ488" s="17" t="s">
        <v>94</v>
      </c>
      <c r="AR488" s="17" t="s">
        <v>5987</v>
      </c>
      <c r="AS488" s="17" t="s">
        <v>5988</v>
      </c>
      <c r="AT488" s="17"/>
      <c r="AU488" s="30" t="s">
        <v>5989</v>
      </c>
      <c r="AV488" s="14">
        <v>10929</v>
      </c>
      <c r="AW488" s="74"/>
      <c r="AX488" s="1" t="s">
        <v>5990</v>
      </c>
      <c r="AY488" s="17" t="s">
        <v>101</v>
      </c>
    </row>
    <row r="489" spans="1:51" ht="15" customHeight="1" x14ac:dyDescent="0.25">
      <c r="A489" s="5">
        <v>479</v>
      </c>
      <c r="B489" s="9">
        <v>479</v>
      </c>
      <c r="C489" s="9" t="s">
        <v>5991</v>
      </c>
      <c r="D489" s="57" t="str">
        <f>HYPERLINK("http://prodenv.dep.state.fl.us/DepNexus/public/electronic-documents/OG_479/facility!search","OG_479_Docs")</f>
        <v>OG_479_Docs</v>
      </c>
      <c r="E489" s="57" t="str">
        <f>HYPERLINK("https://ca.dep.state.fl.us/mapdirect/?focus=oilandgas&amp;zoom=query&amp;querytype=oilandgas&amp;queryvalues=OG_479","OG_479_Map")</f>
        <v>OG_479_Map</v>
      </c>
      <c r="F489" s="1" t="s">
        <v>1797</v>
      </c>
      <c r="G489" s="1" t="s">
        <v>5133</v>
      </c>
      <c r="H489" s="1" t="s">
        <v>1363</v>
      </c>
      <c r="I489" s="1" t="s">
        <v>5992</v>
      </c>
      <c r="J489" s="17" t="s">
        <v>3646</v>
      </c>
      <c r="K489" s="17" t="s">
        <v>412</v>
      </c>
      <c r="L489" s="17"/>
      <c r="M489" s="17"/>
      <c r="N489" s="52" t="s">
        <v>5993</v>
      </c>
      <c r="O489" s="17" t="s">
        <v>86</v>
      </c>
      <c r="P489" s="17" t="s">
        <v>86</v>
      </c>
      <c r="Q489" s="81" t="s">
        <v>5994</v>
      </c>
      <c r="R489" s="11">
        <v>30.957087999999999</v>
      </c>
      <c r="S489" s="11">
        <v>-87.175804999999997</v>
      </c>
      <c r="T489" s="11" t="s">
        <v>5995</v>
      </c>
      <c r="U489" s="11" t="s">
        <v>5996</v>
      </c>
      <c r="V489" s="17" t="s">
        <v>5997</v>
      </c>
      <c r="W489" s="17" t="s">
        <v>110</v>
      </c>
      <c r="X489" s="70">
        <v>219</v>
      </c>
      <c r="Y489" s="70">
        <v>202</v>
      </c>
      <c r="Z489" s="13">
        <v>26015</v>
      </c>
      <c r="AA489" s="13">
        <v>26032</v>
      </c>
      <c r="AB489" s="13">
        <v>26326</v>
      </c>
      <c r="AC489" s="13"/>
      <c r="AD489" s="86">
        <v>15867</v>
      </c>
      <c r="AE489" s="86">
        <v>15867</v>
      </c>
      <c r="AF489" s="70" t="s">
        <v>5998</v>
      </c>
      <c r="AG489" s="17" t="s">
        <v>5999</v>
      </c>
      <c r="AH489" s="17" t="s">
        <v>94</v>
      </c>
      <c r="AI489" s="70" t="s">
        <v>6000</v>
      </c>
      <c r="AJ489" s="17" t="s">
        <v>6001</v>
      </c>
      <c r="AK489" s="17" t="s">
        <v>95</v>
      </c>
      <c r="AL489" s="17" t="s">
        <v>6002</v>
      </c>
      <c r="AM489" s="17" t="s">
        <v>94</v>
      </c>
      <c r="AN489" s="17" t="s">
        <v>94</v>
      </c>
      <c r="AO489" s="17" t="s">
        <v>6003</v>
      </c>
      <c r="AP489" s="17" t="s">
        <v>6004</v>
      </c>
      <c r="AQ489" s="17" t="s">
        <v>5062</v>
      </c>
      <c r="AR489" s="17" t="s">
        <v>6005</v>
      </c>
      <c r="AS489" s="17"/>
      <c r="AT489" s="17"/>
      <c r="AU489" s="30" t="s">
        <v>6006</v>
      </c>
      <c r="AV489" s="14">
        <v>10917</v>
      </c>
      <c r="AW489" s="74">
        <v>309840</v>
      </c>
      <c r="AX489" s="1"/>
      <c r="AY489" s="17" t="s">
        <v>101</v>
      </c>
    </row>
    <row r="490" spans="1:51" ht="15" customHeight="1" x14ac:dyDescent="0.25">
      <c r="A490" s="5">
        <v>480</v>
      </c>
      <c r="B490" s="9">
        <v>480</v>
      </c>
      <c r="C490" s="9" t="s">
        <v>6007</v>
      </c>
      <c r="D490" s="57" t="str">
        <f>HYPERLINK("http://prodenv.dep.state.fl.us/DepNexus/public/electronic-documents/OG_480/facility!search","OG_480_Docs")</f>
        <v>OG_480_Docs</v>
      </c>
      <c r="E490" s="57" t="str">
        <f>HYPERLINK("https://ca.dep.state.fl.us/mapdirect/?focus=oilandgas&amp;zoom=query&amp;querytype=oilandgas&amp;queryvalues=OG_480","OG_480_Map")</f>
        <v>OG_480_Map</v>
      </c>
      <c r="F490" s="1" t="s">
        <v>1797</v>
      </c>
      <c r="G490" s="1" t="s">
        <v>5133</v>
      </c>
      <c r="H490" s="1" t="s">
        <v>1363</v>
      </c>
      <c r="I490" s="1" t="s">
        <v>6008</v>
      </c>
      <c r="J490" s="17" t="s">
        <v>5135</v>
      </c>
      <c r="K490" s="17" t="s">
        <v>4266</v>
      </c>
      <c r="L490" s="17"/>
      <c r="M490" s="17"/>
      <c r="N490" s="52" t="s">
        <v>6009</v>
      </c>
      <c r="O490" s="17" t="s">
        <v>86</v>
      </c>
      <c r="P490" s="17" t="s">
        <v>86</v>
      </c>
      <c r="Q490" s="81" t="s">
        <v>6010</v>
      </c>
      <c r="R490" s="11">
        <v>30.984593</v>
      </c>
      <c r="S490" s="11">
        <v>-87.166835000000006</v>
      </c>
      <c r="T490" s="11" t="s">
        <v>6011</v>
      </c>
      <c r="U490" s="11" t="s">
        <v>6012</v>
      </c>
      <c r="V490" s="17" t="s">
        <v>5582</v>
      </c>
      <c r="W490" s="17" t="s">
        <v>110</v>
      </c>
      <c r="X490" s="70">
        <v>88.54</v>
      </c>
      <c r="Y490" s="70">
        <v>62.74</v>
      </c>
      <c r="Z490" s="13">
        <v>26015</v>
      </c>
      <c r="AA490" s="13">
        <v>26045</v>
      </c>
      <c r="AB490" s="13">
        <v>26248</v>
      </c>
      <c r="AC490" s="13"/>
      <c r="AD490" s="86">
        <v>15621</v>
      </c>
      <c r="AE490" s="86">
        <v>15621</v>
      </c>
      <c r="AF490" s="70" t="s">
        <v>6013</v>
      </c>
      <c r="AG490" s="17" t="s">
        <v>6014</v>
      </c>
      <c r="AH490" s="17" t="s">
        <v>94</v>
      </c>
      <c r="AI490" s="70" t="s">
        <v>6015</v>
      </c>
      <c r="AJ490" s="17" t="s">
        <v>6016</v>
      </c>
      <c r="AK490" s="17" t="s">
        <v>95</v>
      </c>
      <c r="AL490" s="17" t="s">
        <v>6017</v>
      </c>
      <c r="AM490" s="17" t="s">
        <v>95</v>
      </c>
      <c r="AN490" s="17" t="s">
        <v>94</v>
      </c>
      <c r="AO490" s="17" t="s">
        <v>6018</v>
      </c>
      <c r="AP490" s="17" t="s">
        <v>6019</v>
      </c>
      <c r="AQ490" s="17" t="s">
        <v>5243</v>
      </c>
      <c r="AR490" s="17" t="s">
        <v>6020</v>
      </c>
      <c r="AS490" s="17"/>
      <c r="AT490" s="17"/>
      <c r="AU490" s="30" t="s">
        <v>6021</v>
      </c>
      <c r="AV490" s="14">
        <v>10913</v>
      </c>
      <c r="AW490" s="74">
        <v>311578</v>
      </c>
      <c r="AX490" s="1" t="s">
        <v>6022</v>
      </c>
      <c r="AY490" s="17" t="s">
        <v>101</v>
      </c>
    </row>
    <row r="491" spans="1:51" ht="15" customHeight="1" x14ac:dyDescent="0.25">
      <c r="A491" s="5">
        <v>480.1</v>
      </c>
      <c r="B491" s="9" t="s">
        <v>6023</v>
      </c>
      <c r="C491" s="9" t="s">
        <v>6007</v>
      </c>
      <c r="D491" s="57" t="str">
        <f>HYPERLINK("http://prodenv.dep.state.fl.us/DepNexus/public/electronic-documents/OG_480/facility!search","OG_480_Docs")</f>
        <v>OG_480_Docs</v>
      </c>
      <c r="E491" s="57" t="str">
        <f>HYPERLINK("https://ca.dep.state.fl.us/mapdirect/?focus=oilandgas&amp;zoom=query&amp;querytype=oilandgas&amp;queryvalues=OG_480","OG_480_Map")</f>
        <v>OG_480_Map</v>
      </c>
      <c r="F491" s="1" t="s">
        <v>1797</v>
      </c>
      <c r="G491" s="1" t="s">
        <v>5133</v>
      </c>
      <c r="H491" s="1" t="s">
        <v>1363</v>
      </c>
      <c r="I491" s="1" t="s">
        <v>6024</v>
      </c>
      <c r="J491" s="17" t="s">
        <v>207</v>
      </c>
      <c r="K491" s="17" t="s">
        <v>207</v>
      </c>
      <c r="L491" s="17"/>
      <c r="M491" s="17" t="s">
        <v>207</v>
      </c>
      <c r="N491" s="52" t="s">
        <v>207</v>
      </c>
      <c r="O491" s="17" t="s">
        <v>207</v>
      </c>
      <c r="P491" s="17" t="s">
        <v>207</v>
      </c>
      <c r="Q491" s="81" t="s">
        <v>6010</v>
      </c>
      <c r="R491" s="11">
        <v>30.984598999999999</v>
      </c>
      <c r="S491" s="11">
        <v>-87.166838999999996</v>
      </c>
      <c r="T491" s="11" t="s">
        <v>6025</v>
      </c>
      <c r="U491" s="11" t="s">
        <v>6026</v>
      </c>
      <c r="V491" s="17" t="s">
        <v>5582</v>
      </c>
      <c r="W491" s="17" t="s">
        <v>207</v>
      </c>
      <c r="X491" s="70"/>
      <c r="Y491" s="70"/>
      <c r="Z491" s="13">
        <v>39826</v>
      </c>
      <c r="AA491" s="13"/>
      <c r="AB491" s="13"/>
      <c r="AC491" s="13"/>
      <c r="AD491" s="86"/>
      <c r="AE491" s="86"/>
      <c r="AF491" s="70" t="s">
        <v>207</v>
      </c>
      <c r="AG491" s="17" t="s">
        <v>207</v>
      </c>
      <c r="AH491" s="17" t="s">
        <v>207</v>
      </c>
      <c r="AI491" s="70" t="s">
        <v>207</v>
      </c>
      <c r="AJ491" s="17" t="s">
        <v>207</v>
      </c>
      <c r="AK491" s="17" t="s">
        <v>207</v>
      </c>
      <c r="AL491" s="17" t="s">
        <v>207</v>
      </c>
      <c r="AM491" s="17" t="s">
        <v>207</v>
      </c>
      <c r="AN491" s="17" t="s">
        <v>207</v>
      </c>
      <c r="AO491" s="17" t="s">
        <v>207</v>
      </c>
      <c r="AP491" s="17" t="s">
        <v>207</v>
      </c>
      <c r="AQ491" s="17" t="s">
        <v>207</v>
      </c>
      <c r="AR491" s="17" t="s">
        <v>207</v>
      </c>
      <c r="AS491" s="17" t="s">
        <v>207</v>
      </c>
      <c r="AT491" s="17" t="s">
        <v>207</v>
      </c>
      <c r="AU491" s="30" t="s">
        <v>207</v>
      </c>
      <c r="AV491" s="14" t="s">
        <v>207</v>
      </c>
      <c r="AW491" s="74">
        <v>311578</v>
      </c>
      <c r="AX491" s="1"/>
      <c r="AY491" s="17" t="s">
        <v>101</v>
      </c>
    </row>
    <row r="492" spans="1:51" ht="15" customHeight="1" x14ac:dyDescent="0.25">
      <c r="A492" s="5">
        <v>481</v>
      </c>
      <c r="B492" s="9">
        <v>481</v>
      </c>
      <c r="C492" s="9" t="s">
        <v>6027</v>
      </c>
      <c r="D492" s="57" t="str">
        <f>HYPERLINK("http://prodenv.dep.state.fl.us/DepNexus/public/electronic-documents/OG_481/facility!search","OG_481_Docs")</f>
        <v>OG_481_Docs</v>
      </c>
      <c r="E492" s="57" t="str">
        <f>HYPERLINK("https://ca.dep.state.fl.us/mapdirect/?focus=oilandgas&amp;zoom=query&amp;querytype=oilandgas&amp;queryvalues=OG_481","OG_481_Map")</f>
        <v>OG_481_Map</v>
      </c>
      <c r="F492" s="1" t="s">
        <v>1797</v>
      </c>
      <c r="G492" s="1" t="s">
        <v>5133</v>
      </c>
      <c r="H492" s="1" t="s">
        <v>176</v>
      </c>
      <c r="I492" s="1" t="s">
        <v>6028</v>
      </c>
      <c r="J492" s="17" t="s">
        <v>268</v>
      </c>
      <c r="K492" s="17" t="s">
        <v>412</v>
      </c>
      <c r="L492" s="17"/>
      <c r="M492" s="17"/>
      <c r="N492" s="52" t="s">
        <v>6029</v>
      </c>
      <c r="O492" s="17" t="s">
        <v>86</v>
      </c>
      <c r="P492" s="17" t="s">
        <v>86</v>
      </c>
      <c r="Q492" s="81" t="s">
        <v>6030</v>
      </c>
      <c r="R492" s="11">
        <v>30.979773999999999</v>
      </c>
      <c r="S492" s="11">
        <v>-87.178218000000001</v>
      </c>
      <c r="T492" s="11" t="s">
        <v>6031</v>
      </c>
      <c r="U492" s="11" t="s">
        <v>6032</v>
      </c>
      <c r="V492" s="17" t="s">
        <v>6033</v>
      </c>
      <c r="W492" s="17" t="s">
        <v>110</v>
      </c>
      <c r="X492" s="70">
        <v>94.5</v>
      </c>
      <c r="Y492" s="70">
        <v>76.599999999999994</v>
      </c>
      <c r="Z492" s="13">
        <v>26113</v>
      </c>
      <c r="AA492" s="13">
        <v>26114</v>
      </c>
      <c r="AB492" s="13">
        <v>26409</v>
      </c>
      <c r="AC492" s="13">
        <v>38154</v>
      </c>
      <c r="AD492" s="86">
        <v>15661</v>
      </c>
      <c r="AE492" s="86">
        <v>15661</v>
      </c>
      <c r="AF492" s="70" t="s">
        <v>5998</v>
      </c>
      <c r="AG492" s="17" t="s">
        <v>6034</v>
      </c>
      <c r="AH492" s="17" t="s">
        <v>94</v>
      </c>
      <c r="AI492" s="70" t="s">
        <v>6035</v>
      </c>
      <c r="AJ492" s="17" t="s">
        <v>6036</v>
      </c>
      <c r="AK492" s="17" t="s">
        <v>95</v>
      </c>
      <c r="AL492" s="17" t="s">
        <v>6037</v>
      </c>
      <c r="AM492" s="17" t="s">
        <v>95</v>
      </c>
      <c r="AN492" s="17" t="s">
        <v>94</v>
      </c>
      <c r="AO492" s="17" t="s">
        <v>6038</v>
      </c>
      <c r="AP492" s="17" t="s">
        <v>6039</v>
      </c>
      <c r="AQ492" s="17" t="s">
        <v>5636</v>
      </c>
      <c r="AR492" s="17" t="s">
        <v>6040</v>
      </c>
      <c r="AS492" s="17" t="s">
        <v>6041</v>
      </c>
      <c r="AT492" s="17"/>
      <c r="AU492" s="30" t="s">
        <v>6042</v>
      </c>
      <c r="AV492" s="14">
        <v>11161</v>
      </c>
      <c r="AW492" s="74"/>
      <c r="AX492" s="1" t="s">
        <v>6043</v>
      </c>
      <c r="AY492" s="17" t="s">
        <v>101</v>
      </c>
    </row>
    <row r="493" spans="1:51" ht="15" customHeight="1" x14ac:dyDescent="0.25">
      <c r="A493" s="5">
        <v>482</v>
      </c>
      <c r="B493" s="9">
        <v>482</v>
      </c>
      <c r="C493" s="9" t="s">
        <v>6044</v>
      </c>
      <c r="D493" s="57" t="str">
        <f>HYPERLINK("http://prodenv.dep.state.fl.us/DepNexus/public/electronic-documents/OG_482/facility!search","OG_482_Docs")</f>
        <v>OG_482_Docs</v>
      </c>
      <c r="E493" s="57" t="str">
        <f>HYPERLINK("https://ca.dep.state.fl.us/mapdirect/?focus=oilandgas&amp;zoom=query&amp;querytype=oilandgas&amp;queryvalues=OG_482","OG_482_Map")</f>
        <v>OG_482_Map</v>
      </c>
      <c r="F493" s="1" t="s">
        <v>1797</v>
      </c>
      <c r="G493" s="1" t="s">
        <v>5133</v>
      </c>
      <c r="H493" s="1" t="s">
        <v>1363</v>
      </c>
      <c r="I493" s="1" t="s">
        <v>6045</v>
      </c>
      <c r="J493" s="17" t="s">
        <v>3646</v>
      </c>
      <c r="K493" s="17" t="s">
        <v>412</v>
      </c>
      <c r="L493" s="17"/>
      <c r="M493" s="17"/>
      <c r="N493" s="52" t="s">
        <v>6046</v>
      </c>
      <c r="O493" s="17" t="s">
        <v>86</v>
      </c>
      <c r="P493" s="17" t="s">
        <v>86</v>
      </c>
      <c r="Q493" s="81" t="s">
        <v>6047</v>
      </c>
      <c r="R493" s="11">
        <v>30.956855000000001</v>
      </c>
      <c r="S493" s="11">
        <v>-87.144028000000006</v>
      </c>
      <c r="T493" s="11" t="s">
        <v>6048</v>
      </c>
      <c r="U493" s="11" t="s">
        <v>6049</v>
      </c>
      <c r="V493" s="17" t="s">
        <v>6050</v>
      </c>
      <c r="W493" s="17" t="s">
        <v>110</v>
      </c>
      <c r="X493" s="70">
        <v>265</v>
      </c>
      <c r="Y493" s="70">
        <v>247</v>
      </c>
      <c r="Z493" s="13">
        <v>26029</v>
      </c>
      <c r="AA493" s="13">
        <v>26046</v>
      </c>
      <c r="AB493" s="13">
        <v>26493</v>
      </c>
      <c r="AC493" s="13"/>
      <c r="AD493" s="86">
        <v>15900</v>
      </c>
      <c r="AE493" s="86">
        <v>15900</v>
      </c>
      <c r="AF493" s="70" t="s">
        <v>6051</v>
      </c>
      <c r="AG493" s="17" t="s">
        <v>6052</v>
      </c>
      <c r="AH493" s="17" t="s">
        <v>94</v>
      </c>
      <c r="AI493" s="70" t="s">
        <v>6053</v>
      </c>
      <c r="AJ493" s="17" t="s">
        <v>6054</v>
      </c>
      <c r="AK493" s="17" t="s">
        <v>95</v>
      </c>
      <c r="AL493" s="17" t="s">
        <v>6055</v>
      </c>
      <c r="AM493" s="17" t="s">
        <v>95</v>
      </c>
      <c r="AN493" s="17" t="s">
        <v>95</v>
      </c>
      <c r="AO493" s="17" t="s">
        <v>6056</v>
      </c>
      <c r="AP493" s="17" t="s">
        <v>6057</v>
      </c>
      <c r="AQ493" s="17" t="s">
        <v>86</v>
      </c>
      <c r="AR493" s="17" t="s">
        <v>6058</v>
      </c>
      <c r="AS493" s="17"/>
      <c r="AT493" s="17">
        <v>250</v>
      </c>
      <c r="AU493" s="30" t="s">
        <v>6059</v>
      </c>
      <c r="AV493" s="14">
        <v>10996</v>
      </c>
      <c r="AW493" s="74">
        <v>309841</v>
      </c>
      <c r="AX493" s="1"/>
      <c r="AY493" s="17" t="s">
        <v>101</v>
      </c>
    </row>
    <row r="494" spans="1:51" ht="15" customHeight="1" x14ac:dyDescent="0.25">
      <c r="A494" s="5">
        <v>483</v>
      </c>
      <c r="B494" s="9">
        <v>483</v>
      </c>
      <c r="C494" s="9" t="s">
        <v>6060</v>
      </c>
      <c r="D494" s="57" t="str">
        <f>HYPERLINK("http://prodenv.dep.state.fl.us/DepNexus/public/electronic-documents/OG_483/facility!search","OG_483_Docs")</f>
        <v>OG_483_Docs</v>
      </c>
      <c r="E494" s="57" t="str">
        <f>HYPERLINK("https://ca.dep.state.fl.us/mapdirect/?focus=oilandgas&amp;zoom=query&amp;querytype=oilandgas&amp;queryvalues=OG_483","OG_483_Map")</f>
        <v>OG_483_Map</v>
      </c>
      <c r="F494" s="1" t="s">
        <v>1797</v>
      </c>
      <c r="G494" s="1" t="s">
        <v>5133</v>
      </c>
      <c r="H494" s="1" t="s">
        <v>1363</v>
      </c>
      <c r="I494" s="1" t="s">
        <v>6061</v>
      </c>
      <c r="J494" s="17" t="s">
        <v>1476</v>
      </c>
      <c r="K494" s="17" t="s">
        <v>4266</v>
      </c>
      <c r="L494" s="17"/>
      <c r="M494" s="17"/>
      <c r="N494" s="52" t="s">
        <v>6062</v>
      </c>
      <c r="O494" s="17" t="s">
        <v>86</v>
      </c>
      <c r="P494" s="17" t="s">
        <v>86</v>
      </c>
      <c r="Q494" s="81" t="s">
        <v>6063</v>
      </c>
      <c r="R494" s="11">
        <v>30.951844999999999</v>
      </c>
      <c r="S494" s="11">
        <v>-87.175348</v>
      </c>
      <c r="T494" s="11" t="s">
        <v>6064</v>
      </c>
      <c r="U494" s="11" t="s">
        <v>6065</v>
      </c>
      <c r="V494" s="17" t="s">
        <v>6066</v>
      </c>
      <c r="W494" s="17" t="s">
        <v>110</v>
      </c>
      <c r="X494" s="70">
        <v>277.5</v>
      </c>
      <c r="Y494" s="70">
        <v>260</v>
      </c>
      <c r="Z494" s="13">
        <v>26029</v>
      </c>
      <c r="AA494" s="13">
        <v>26100</v>
      </c>
      <c r="AB494" s="13">
        <v>26331</v>
      </c>
      <c r="AC494" s="13">
        <v>45047</v>
      </c>
      <c r="AD494" s="86">
        <v>15993</v>
      </c>
      <c r="AE494" s="86">
        <v>15993</v>
      </c>
      <c r="AF494" s="70" t="s">
        <v>6067</v>
      </c>
      <c r="AG494" s="17" t="s">
        <v>6068</v>
      </c>
      <c r="AH494" s="17" t="s">
        <v>94</v>
      </c>
      <c r="AI494" s="71" t="s">
        <v>6069</v>
      </c>
      <c r="AJ494" s="17" t="s">
        <v>6070</v>
      </c>
      <c r="AK494" s="17" t="s">
        <v>94</v>
      </c>
      <c r="AL494" s="17" t="s">
        <v>6071</v>
      </c>
      <c r="AM494" s="17" t="s">
        <v>95</v>
      </c>
      <c r="AN494" s="17" t="s">
        <v>94</v>
      </c>
      <c r="AO494" s="17" t="s">
        <v>6072</v>
      </c>
      <c r="AP494" s="17" t="s">
        <v>6073</v>
      </c>
      <c r="AQ494" s="17" t="s">
        <v>3512</v>
      </c>
      <c r="AR494" s="17" t="s">
        <v>6074</v>
      </c>
      <c r="AS494" s="17" t="s">
        <v>6075</v>
      </c>
      <c r="AT494" s="17"/>
      <c r="AU494" s="30" t="s">
        <v>6076</v>
      </c>
      <c r="AV494" s="14">
        <v>11158</v>
      </c>
      <c r="AW494" s="74">
        <v>311579</v>
      </c>
      <c r="AX494" s="1" t="s">
        <v>6077</v>
      </c>
      <c r="AY494" s="17" t="s">
        <v>101</v>
      </c>
    </row>
    <row r="495" spans="1:51" ht="15" customHeight="1" x14ac:dyDescent="0.25">
      <c r="A495" s="5">
        <v>484</v>
      </c>
      <c r="B495" s="9">
        <v>484</v>
      </c>
      <c r="C495" s="9" t="s">
        <v>6078</v>
      </c>
      <c r="D495" s="57" t="str">
        <f>HYPERLINK("http://prodenv.dep.state.fl.us/DepNexus/public/electronic-documents/OG_484/facility!search","OG_484_Docs")</f>
        <v>OG_484_Docs</v>
      </c>
      <c r="E495" s="57" t="str">
        <f>HYPERLINK("https://ca.dep.state.fl.us/mapdirect/?focus=oilandgas&amp;zoom=query&amp;querytype=oilandgas&amp;queryvalues=OG_484","OG_484_Map")</f>
        <v>OG_484_Map</v>
      </c>
      <c r="F495" s="1" t="s">
        <v>1682</v>
      </c>
      <c r="G495" s="1" t="s">
        <v>5133</v>
      </c>
      <c r="H495" s="1" t="s">
        <v>1363</v>
      </c>
      <c r="I495" s="1" t="s">
        <v>6079</v>
      </c>
      <c r="J495" s="17" t="s">
        <v>3646</v>
      </c>
      <c r="K495" s="17" t="s">
        <v>412</v>
      </c>
      <c r="L495" s="17"/>
      <c r="M495" s="17"/>
      <c r="N495" s="52" t="s">
        <v>6080</v>
      </c>
      <c r="O495" s="17" t="s">
        <v>86</v>
      </c>
      <c r="P495" s="17" t="s">
        <v>86</v>
      </c>
      <c r="Q495" s="81" t="s">
        <v>6081</v>
      </c>
      <c r="R495" s="11">
        <v>30.996379999999998</v>
      </c>
      <c r="S495" s="11">
        <v>-87.178466999999998</v>
      </c>
      <c r="T495" s="11" t="s">
        <v>6082</v>
      </c>
      <c r="U495" s="11" t="s">
        <v>6083</v>
      </c>
      <c r="V495" s="17" t="s">
        <v>6084</v>
      </c>
      <c r="W495" s="17" t="s">
        <v>6085</v>
      </c>
      <c r="X495" s="70">
        <v>80.75</v>
      </c>
      <c r="Y495" s="70">
        <v>56.75</v>
      </c>
      <c r="Z495" s="13">
        <v>26029</v>
      </c>
      <c r="AA495" s="13">
        <v>26065</v>
      </c>
      <c r="AB495" s="13">
        <v>26258</v>
      </c>
      <c r="AC495" s="13"/>
      <c r="AD495" s="70">
        <v>15543</v>
      </c>
      <c r="AE495" s="86">
        <v>15548</v>
      </c>
      <c r="AF495" s="70" t="s">
        <v>2540</v>
      </c>
      <c r="AG495" s="17" t="s">
        <v>6086</v>
      </c>
      <c r="AH495" s="17" t="s">
        <v>94</v>
      </c>
      <c r="AI495" s="70" t="s">
        <v>6087</v>
      </c>
      <c r="AJ495" s="17" t="s">
        <v>6088</v>
      </c>
      <c r="AK495" s="17" t="s">
        <v>95</v>
      </c>
      <c r="AL495" s="17" t="s">
        <v>6089</v>
      </c>
      <c r="AM495" s="17" t="s">
        <v>95</v>
      </c>
      <c r="AN495" s="17" t="s">
        <v>94</v>
      </c>
      <c r="AO495" s="17" t="s">
        <v>6090</v>
      </c>
      <c r="AP495" s="17" t="s">
        <v>6091</v>
      </c>
      <c r="AQ495" s="17" t="s">
        <v>94</v>
      </c>
      <c r="AR495" s="17" t="s">
        <v>6092</v>
      </c>
      <c r="AS495" s="17"/>
      <c r="AT495" s="17"/>
      <c r="AU495" s="30" t="s">
        <v>6093</v>
      </c>
      <c r="AV495" s="14">
        <v>10983</v>
      </c>
      <c r="AW495" s="74">
        <v>309825</v>
      </c>
      <c r="AX495" s="1"/>
      <c r="AY495" s="17" t="s">
        <v>101</v>
      </c>
    </row>
    <row r="496" spans="1:51" ht="15" customHeight="1" x14ac:dyDescent="0.25">
      <c r="A496" s="5">
        <v>485</v>
      </c>
      <c r="B496" s="9">
        <v>485</v>
      </c>
      <c r="C496" s="9" t="s">
        <v>6094</v>
      </c>
      <c r="D496" s="57" t="str">
        <f>HYPERLINK("http://prodenv.dep.state.fl.us/DepNexus/public/electronic-documents/OG_485/facility!search","OG_485_Docs")</f>
        <v>OG_485_Docs</v>
      </c>
      <c r="E496" s="57" t="str">
        <f>HYPERLINK("https://ca.dep.state.fl.us/mapdirect/?focus=oilandgas&amp;zoom=query&amp;querytype=oilandgas&amp;queryvalues=OG_485","OG_485_Map")</f>
        <v>OG_485_Map</v>
      </c>
      <c r="F496" s="1" t="s">
        <v>1682</v>
      </c>
      <c r="G496" s="1" t="s">
        <v>79</v>
      </c>
      <c r="H496" s="1" t="s">
        <v>6095</v>
      </c>
      <c r="I496" s="1" t="s">
        <v>6096</v>
      </c>
      <c r="J496" s="17" t="s">
        <v>82</v>
      </c>
      <c r="K496" s="17" t="s">
        <v>83</v>
      </c>
      <c r="L496" s="17"/>
      <c r="M496" s="17"/>
      <c r="N496" s="52" t="s">
        <v>6097</v>
      </c>
      <c r="O496" s="17" t="s">
        <v>86</v>
      </c>
      <c r="P496" s="17" t="s">
        <v>86</v>
      </c>
      <c r="Q496" s="81" t="s">
        <v>6098</v>
      </c>
      <c r="R496" s="11">
        <v>30.972093000000001</v>
      </c>
      <c r="S496" s="11">
        <v>-87.515455000000003</v>
      </c>
      <c r="T496" s="11" t="s">
        <v>6099</v>
      </c>
      <c r="U496" s="11" t="s">
        <v>6100</v>
      </c>
      <c r="V496" s="17" t="s">
        <v>6101</v>
      </c>
      <c r="W496" s="17" t="s">
        <v>110</v>
      </c>
      <c r="X496" s="70">
        <v>263.3</v>
      </c>
      <c r="Y496" s="70">
        <v>240.4</v>
      </c>
      <c r="Z496" s="13">
        <v>26043</v>
      </c>
      <c r="AA496" s="13">
        <v>26051</v>
      </c>
      <c r="AB496" s="13">
        <v>26186</v>
      </c>
      <c r="AC496" s="13">
        <v>26480</v>
      </c>
      <c r="AD496" s="86">
        <v>16653</v>
      </c>
      <c r="AE496" s="86">
        <v>16653</v>
      </c>
      <c r="AF496" s="70" t="s">
        <v>1650</v>
      </c>
      <c r="AG496" s="17" t="s">
        <v>6102</v>
      </c>
      <c r="AH496" s="17" t="s">
        <v>6103</v>
      </c>
      <c r="AI496" s="70" t="s">
        <v>94</v>
      </c>
      <c r="AJ496" s="17" t="s">
        <v>94</v>
      </c>
      <c r="AK496" s="17" t="s">
        <v>95</v>
      </c>
      <c r="AL496" s="17" t="s">
        <v>6104</v>
      </c>
      <c r="AM496" s="17" t="s">
        <v>95</v>
      </c>
      <c r="AN496" s="17" t="s">
        <v>94</v>
      </c>
      <c r="AO496" s="17" t="s">
        <v>98</v>
      </c>
      <c r="AP496" s="17" t="s">
        <v>98</v>
      </c>
      <c r="AQ496" s="17" t="s">
        <v>98</v>
      </c>
      <c r="AR496" s="17" t="s">
        <v>94</v>
      </c>
      <c r="AS496" s="17" t="s">
        <v>6105</v>
      </c>
      <c r="AT496" s="17"/>
      <c r="AU496" s="30" t="s">
        <v>6106</v>
      </c>
      <c r="AV496" s="14">
        <v>10994</v>
      </c>
      <c r="AW496" s="74"/>
      <c r="AX496" s="1"/>
      <c r="AY496" s="17" t="s">
        <v>101</v>
      </c>
    </row>
    <row r="497" spans="1:51" ht="12.75" customHeight="1" x14ac:dyDescent="0.25">
      <c r="A497" s="5">
        <v>486</v>
      </c>
      <c r="B497" s="9">
        <v>486</v>
      </c>
      <c r="C497" s="9" t="s">
        <v>6107</v>
      </c>
      <c r="D497" s="57" t="str">
        <f>HYPERLINK("http://prodenv.dep.state.fl.us/DepNexus/public/electronic-documents/OG_486/facility!search","OG_486_Docs")</f>
        <v>OG_486_Docs</v>
      </c>
      <c r="E497" s="57" t="str">
        <f>HYPERLINK("https://ca.dep.state.fl.us/mapdirect/?focus=oilandgas&amp;zoom=query&amp;querytype=oilandgas&amp;queryvalues=OG_486","OG_486_Map")</f>
        <v>OG_486_Map</v>
      </c>
      <c r="F497" s="1" t="s">
        <v>1752</v>
      </c>
      <c r="G497" s="1" t="s">
        <v>4496</v>
      </c>
      <c r="H497" s="1" t="s">
        <v>3624</v>
      </c>
      <c r="I497" s="1" t="s">
        <v>6108</v>
      </c>
      <c r="J497" s="17" t="s">
        <v>268</v>
      </c>
      <c r="K497" s="17" t="s">
        <v>412</v>
      </c>
      <c r="L497" s="17"/>
      <c r="M497" s="17" t="s">
        <v>101</v>
      </c>
      <c r="N497" s="52" t="s">
        <v>3956</v>
      </c>
      <c r="O497" s="17" t="s">
        <v>86</v>
      </c>
      <c r="P497" s="17" t="s">
        <v>86</v>
      </c>
      <c r="Q497" s="81" t="s">
        <v>6109</v>
      </c>
      <c r="R497" s="11">
        <v>26.544381000000001</v>
      </c>
      <c r="S497" s="11">
        <v>-81.545434999999998</v>
      </c>
      <c r="T497" s="11" t="s">
        <v>6110</v>
      </c>
      <c r="U497" s="11" t="s">
        <v>6111</v>
      </c>
      <c r="V497" s="17" t="s">
        <v>320</v>
      </c>
      <c r="W497" s="17" t="s">
        <v>110</v>
      </c>
      <c r="X497" s="70">
        <v>46</v>
      </c>
      <c r="Y497" s="70">
        <v>32</v>
      </c>
      <c r="Z497" s="13">
        <v>26071</v>
      </c>
      <c r="AA497" s="13">
        <v>26136</v>
      </c>
      <c r="AB497" s="13">
        <v>26205</v>
      </c>
      <c r="AC497" s="13">
        <v>36839</v>
      </c>
      <c r="AD497" s="86">
        <v>11725</v>
      </c>
      <c r="AE497" s="86">
        <v>11725</v>
      </c>
      <c r="AF497" s="70" t="s">
        <v>6112</v>
      </c>
      <c r="AG497" s="17" t="s">
        <v>6113</v>
      </c>
      <c r="AH497" s="17" t="s">
        <v>6114</v>
      </c>
      <c r="AI497" s="70" t="s">
        <v>6115</v>
      </c>
      <c r="AJ497" s="17" t="s">
        <v>6116</v>
      </c>
      <c r="AK497" s="17" t="s">
        <v>95</v>
      </c>
      <c r="AL497" s="17" t="s">
        <v>6117</v>
      </c>
      <c r="AM497" s="17" t="s">
        <v>95</v>
      </c>
      <c r="AN497" s="17" t="s">
        <v>86</v>
      </c>
      <c r="AO497" s="17" t="s">
        <v>6118</v>
      </c>
      <c r="AP497" s="17" t="s">
        <v>5061</v>
      </c>
      <c r="AQ497" s="17" t="s">
        <v>5636</v>
      </c>
      <c r="AR497" s="17" t="s">
        <v>6119</v>
      </c>
      <c r="AS497" s="17" t="s">
        <v>6120</v>
      </c>
      <c r="AT497" s="17"/>
      <c r="AU497" s="30" t="s">
        <v>6121</v>
      </c>
      <c r="AV497" s="14">
        <v>10988</v>
      </c>
      <c r="AW497" s="74"/>
      <c r="AX497" s="1"/>
      <c r="AY497" s="17" t="s">
        <v>101</v>
      </c>
    </row>
    <row r="498" spans="1:51" ht="15" customHeight="1" x14ac:dyDescent="0.25">
      <c r="A498" s="5">
        <v>487</v>
      </c>
      <c r="B498" s="9">
        <v>487</v>
      </c>
      <c r="C498" s="9" t="s">
        <v>6122</v>
      </c>
      <c r="D498" s="57" t="str">
        <f>HYPERLINK("http://prodenv.dep.state.fl.us/DepNexus/public/electronic-documents/OG_487/facility!search","OG_487_Docs")</f>
        <v>OG_487_Docs</v>
      </c>
      <c r="E498" s="57" t="str">
        <f>HYPERLINK("https://ca.dep.state.fl.us/mapdirect/?focus=oilandgas&amp;zoom=query&amp;querytype=oilandgas&amp;queryvalues=OG_487","OG_487_Map")</f>
        <v>OG_487_Map</v>
      </c>
      <c r="F498" s="1" t="s">
        <v>2026</v>
      </c>
      <c r="G498" s="1" t="s">
        <v>4496</v>
      </c>
      <c r="H498" s="1" t="s">
        <v>176</v>
      </c>
      <c r="I498" s="1" t="s">
        <v>6123</v>
      </c>
      <c r="J498" s="17" t="s">
        <v>268</v>
      </c>
      <c r="K498" s="17" t="s">
        <v>412</v>
      </c>
      <c r="L498" s="17"/>
      <c r="M498" s="17"/>
      <c r="N498" s="52" t="s">
        <v>4735</v>
      </c>
      <c r="O498" s="17" t="s">
        <v>86</v>
      </c>
      <c r="P498" s="17" t="s">
        <v>86</v>
      </c>
      <c r="Q498" s="81" t="s">
        <v>6124</v>
      </c>
      <c r="R498" s="11">
        <v>26.569773999999999</v>
      </c>
      <c r="S498" s="11">
        <v>-81.579499999999996</v>
      </c>
      <c r="T498" s="11" t="s">
        <v>6125</v>
      </c>
      <c r="U498" s="11" t="s">
        <v>6126</v>
      </c>
      <c r="V498" s="17" t="s">
        <v>6127</v>
      </c>
      <c r="W498" s="17" t="s">
        <v>6128</v>
      </c>
      <c r="X498" s="70">
        <v>45.3</v>
      </c>
      <c r="Y498" s="70">
        <v>30.6</v>
      </c>
      <c r="Z498" s="13">
        <v>26071</v>
      </c>
      <c r="AA498" s="13">
        <v>26085</v>
      </c>
      <c r="AB498" s="13">
        <v>26241</v>
      </c>
      <c r="AC498" s="13">
        <v>32456</v>
      </c>
      <c r="AD498" s="86">
        <v>11686</v>
      </c>
      <c r="AE498" s="86">
        <v>11800</v>
      </c>
      <c r="AF498" s="70" t="s">
        <v>5494</v>
      </c>
      <c r="AG498" s="17" t="s">
        <v>6129</v>
      </c>
      <c r="AH498" s="23" t="s">
        <v>6130</v>
      </c>
      <c r="AI498" s="70" t="s">
        <v>6131</v>
      </c>
      <c r="AJ498" s="17" t="s">
        <v>6132</v>
      </c>
      <c r="AK498" s="17" t="s">
        <v>95</v>
      </c>
      <c r="AL498" s="17" t="s">
        <v>6133</v>
      </c>
      <c r="AM498" s="17" t="s">
        <v>94</v>
      </c>
      <c r="AN498" s="17" t="s">
        <v>86</v>
      </c>
      <c r="AO498" s="17" t="s">
        <v>6134</v>
      </c>
      <c r="AP498" s="17" t="s">
        <v>6135</v>
      </c>
      <c r="AQ498" s="17" t="s">
        <v>6136</v>
      </c>
      <c r="AR498" s="17" t="s">
        <v>6137</v>
      </c>
      <c r="AS498" s="17" t="s">
        <v>6138</v>
      </c>
      <c r="AT498" s="17"/>
      <c r="AU498" s="30" t="s">
        <v>6139</v>
      </c>
      <c r="AV498" s="14">
        <v>10892</v>
      </c>
      <c r="AW498" s="74"/>
      <c r="AX498" s="1"/>
      <c r="AY498" s="17" t="s">
        <v>101</v>
      </c>
    </row>
    <row r="499" spans="1:51" ht="15" customHeight="1" x14ac:dyDescent="0.25">
      <c r="A499" s="5">
        <v>488</v>
      </c>
      <c r="B499" s="9">
        <v>488</v>
      </c>
      <c r="C499" s="9" t="s">
        <v>6140</v>
      </c>
      <c r="D499" s="57" t="str">
        <f>HYPERLINK("http://prodenv.dep.state.fl.us/DepNexus/public/electronic-documents/OG_488/facility!search","OG_488_Docs")</f>
        <v>OG_488_Docs</v>
      </c>
      <c r="E499" s="57" t="str">
        <f>HYPERLINK("https://ca.dep.state.fl.us/mapdirect/?focus=oilandgas&amp;zoom=query&amp;querytype=oilandgas&amp;queryvalues=OG_488","OG_488_Map")</f>
        <v>OG_488_Map</v>
      </c>
      <c r="F499" s="1" t="s">
        <v>1752</v>
      </c>
      <c r="G499" s="1" t="s">
        <v>79</v>
      </c>
      <c r="H499" s="1" t="s">
        <v>6141</v>
      </c>
      <c r="I499" s="1" t="s">
        <v>6142</v>
      </c>
      <c r="J499" s="17" t="s">
        <v>82</v>
      </c>
      <c r="K499" s="17" t="s">
        <v>83</v>
      </c>
      <c r="L499" s="17"/>
      <c r="M499" s="17" t="s">
        <v>101</v>
      </c>
      <c r="N499" s="52" t="s">
        <v>3956</v>
      </c>
      <c r="O499" s="17" t="s">
        <v>86</v>
      </c>
      <c r="P499" s="17" t="s">
        <v>86</v>
      </c>
      <c r="Q499" s="81" t="s">
        <v>6143</v>
      </c>
      <c r="R499" s="11">
        <v>26.576257999999999</v>
      </c>
      <c r="S499" s="11">
        <v>-81.471767999999997</v>
      </c>
      <c r="T499" s="11" t="s">
        <v>6144</v>
      </c>
      <c r="U499" s="11" t="s">
        <v>6145</v>
      </c>
      <c r="V499" s="17" t="s">
        <v>6146</v>
      </c>
      <c r="W499" s="17" t="s">
        <v>110</v>
      </c>
      <c r="X499" s="70">
        <v>49.5</v>
      </c>
      <c r="Y499" s="70">
        <v>33.5</v>
      </c>
      <c r="Z499" s="13">
        <v>26079</v>
      </c>
      <c r="AA499" s="13">
        <v>26092</v>
      </c>
      <c r="AB499" s="13"/>
      <c r="AC499" s="13">
        <v>26496</v>
      </c>
      <c r="AD499" s="86">
        <v>11517</v>
      </c>
      <c r="AE499" s="86">
        <v>11517</v>
      </c>
      <c r="AF499" s="70" t="s">
        <v>6147</v>
      </c>
      <c r="AG499" s="17" t="s">
        <v>6148</v>
      </c>
      <c r="AH499" s="23" t="s">
        <v>5748</v>
      </c>
      <c r="AI499" s="70" t="s">
        <v>94</v>
      </c>
      <c r="AJ499" s="17" t="s">
        <v>94</v>
      </c>
      <c r="AK499" s="17" t="s">
        <v>95</v>
      </c>
      <c r="AL499" s="17" t="s">
        <v>6149</v>
      </c>
      <c r="AM499" s="17" t="s">
        <v>94</v>
      </c>
      <c r="AN499" s="17" t="s">
        <v>94</v>
      </c>
      <c r="AO499" s="17" t="s">
        <v>98</v>
      </c>
      <c r="AP499" s="17" t="s">
        <v>98</v>
      </c>
      <c r="AQ499" s="17" t="s">
        <v>98</v>
      </c>
      <c r="AR499" s="17" t="s">
        <v>94</v>
      </c>
      <c r="AS499" s="17" t="s">
        <v>6150</v>
      </c>
      <c r="AT499" s="17"/>
      <c r="AU499" s="30" t="s">
        <v>6151</v>
      </c>
      <c r="AV499" s="14">
        <v>10984</v>
      </c>
      <c r="AW499" s="74"/>
      <c r="AX499" s="1"/>
      <c r="AY499" s="17" t="s">
        <v>101</v>
      </c>
    </row>
    <row r="500" spans="1:51" ht="12.75" customHeight="1" x14ac:dyDescent="0.25">
      <c r="A500" s="5">
        <v>489</v>
      </c>
      <c r="B500" s="9">
        <v>489</v>
      </c>
      <c r="C500" s="9" t="s">
        <v>6152</v>
      </c>
      <c r="D500" s="57" t="str">
        <f>HYPERLINK("http://prodenv.dep.state.fl.us/DepNexus/public/electronic-documents/OG_489/facility!search","OG_489_Docs")</f>
        <v>OG_489_Docs</v>
      </c>
      <c r="E500" s="57" t="str">
        <f>HYPERLINK("https://ca.dep.state.fl.us/mapdirect/?focus=oilandgas&amp;zoom=query&amp;querytype=oilandgas&amp;queryvalues=OG_489","OG_489_Map")</f>
        <v>OG_489_Map</v>
      </c>
      <c r="F500" s="1" t="s">
        <v>1797</v>
      </c>
      <c r="G500" s="1" t="s">
        <v>5133</v>
      </c>
      <c r="H500" s="1" t="s">
        <v>6153</v>
      </c>
      <c r="I500" s="1" t="s">
        <v>6154</v>
      </c>
      <c r="J500" s="17" t="s">
        <v>268</v>
      </c>
      <c r="K500" s="17" t="s">
        <v>4266</v>
      </c>
      <c r="L500" s="17"/>
      <c r="M500" s="17"/>
      <c r="N500" s="52" t="s">
        <v>6155</v>
      </c>
      <c r="O500" s="17" t="s">
        <v>86</v>
      </c>
      <c r="P500" s="17" t="s">
        <v>86</v>
      </c>
      <c r="Q500" s="81" t="s">
        <v>6156</v>
      </c>
      <c r="R500" s="11">
        <v>30.950763999999999</v>
      </c>
      <c r="S500" s="11">
        <v>-87.136765999999994</v>
      </c>
      <c r="T500" s="11" t="s">
        <v>6157</v>
      </c>
      <c r="U500" s="11" t="s">
        <v>6158</v>
      </c>
      <c r="V500" s="17" t="s">
        <v>6159</v>
      </c>
      <c r="W500" s="17" t="s">
        <v>110</v>
      </c>
      <c r="X500" s="70">
        <v>254</v>
      </c>
      <c r="Y500" s="70">
        <v>236</v>
      </c>
      <c r="Z500" s="13">
        <v>26079</v>
      </c>
      <c r="AA500" s="13">
        <v>26116</v>
      </c>
      <c r="AB500" s="13">
        <v>26193</v>
      </c>
      <c r="AC500" s="13">
        <v>39750</v>
      </c>
      <c r="AD500" s="86">
        <v>15990</v>
      </c>
      <c r="AE500" s="86">
        <v>15990</v>
      </c>
      <c r="AF500" s="70" t="s">
        <v>6160</v>
      </c>
      <c r="AG500" s="17" t="s">
        <v>6161</v>
      </c>
      <c r="AH500" s="17" t="s">
        <v>94</v>
      </c>
      <c r="AI500" s="70" t="s">
        <v>6162</v>
      </c>
      <c r="AJ500" s="17" t="s">
        <v>6163</v>
      </c>
      <c r="AK500" s="17" t="s">
        <v>94</v>
      </c>
      <c r="AL500" s="17" t="s">
        <v>94</v>
      </c>
      <c r="AM500" s="17" t="s">
        <v>95</v>
      </c>
      <c r="AN500" s="17" t="s">
        <v>94</v>
      </c>
      <c r="AO500" s="17" t="s">
        <v>6164</v>
      </c>
      <c r="AP500" s="17" t="s">
        <v>6165</v>
      </c>
      <c r="AQ500" s="17" t="s">
        <v>86</v>
      </c>
      <c r="AR500" s="17" t="s">
        <v>6166</v>
      </c>
      <c r="AS500" s="17" t="s">
        <v>6167</v>
      </c>
      <c r="AT500" s="17">
        <v>246</v>
      </c>
      <c r="AU500" s="30" t="s">
        <v>6168</v>
      </c>
      <c r="AV500" s="14" t="s">
        <v>94</v>
      </c>
      <c r="AW500" s="74"/>
      <c r="AX500" s="1" t="s">
        <v>6169</v>
      </c>
      <c r="AY500" s="17" t="s">
        <v>101</v>
      </c>
    </row>
    <row r="501" spans="1:51" ht="15" customHeight="1" x14ac:dyDescent="0.25">
      <c r="A501" s="5">
        <v>490</v>
      </c>
      <c r="B501" s="9">
        <v>490</v>
      </c>
      <c r="C501" s="9" t="s">
        <v>6170</v>
      </c>
      <c r="D501" s="57" t="str">
        <f>HYPERLINK("http://prodenv.dep.state.fl.us/DepNexus/public/electronic-documents/OG_490/facility!search","OG_490_Docs")</f>
        <v>OG_490_Docs</v>
      </c>
      <c r="E501" s="57" t="str">
        <f>HYPERLINK("https://ca.dep.state.fl.us/mapdirect/?focus=oilandgas&amp;zoom=query&amp;querytype=oilandgas&amp;queryvalues=OG_490","OG_490_Map")</f>
        <v>OG_490_Map</v>
      </c>
      <c r="F501" s="1" t="s">
        <v>1682</v>
      </c>
      <c r="G501" s="1" t="s">
        <v>5133</v>
      </c>
      <c r="H501" s="1" t="s">
        <v>1363</v>
      </c>
      <c r="I501" s="1" t="s">
        <v>6171</v>
      </c>
      <c r="J501" s="64" t="s">
        <v>268</v>
      </c>
      <c r="K501" s="17" t="s">
        <v>412</v>
      </c>
      <c r="L501" s="17"/>
      <c r="M501" s="17"/>
      <c r="N501" s="52" t="s">
        <v>6172</v>
      </c>
      <c r="O501" s="17" t="s">
        <v>86</v>
      </c>
      <c r="P501" s="17" t="s">
        <v>86</v>
      </c>
      <c r="Q501" s="81" t="s">
        <v>6173</v>
      </c>
      <c r="R501" s="11">
        <v>30.980696999999999</v>
      </c>
      <c r="S501" s="11">
        <v>-87.191754000000003</v>
      </c>
      <c r="T501" s="11" t="s">
        <v>6174</v>
      </c>
      <c r="U501" s="11" t="s">
        <v>6175</v>
      </c>
      <c r="V501" s="17" t="s">
        <v>6176</v>
      </c>
      <c r="W501" s="17" t="s">
        <v>110</v>
      </c>
      <c r="X501" s="70">
        <v>73</v>
      </c>
      <c r="Y501" s="70">
        <v>52</v>
      </c>
      <c r="Z501" s="13">
        <v>26085</v>
      </c>
      <c r="AA501" s="13">
        <v>26204</v>
      </c>
      <c r="AB501" s="13">
        <v>26337</v>
      </c>
      <c r="AC501" s="13">
        <v>42061</v>
      </c>
      <c r="AD501" s="86">
        <v>15688</v>
      </c>
      <c r="AE501" s="86">
        <v>15688</v>
      </c>
      <c r="AF501" s="70" t="s">
        <v>6177</v>
      </c>
      <c r="AG501" s="17" t="s">
        <v>6178</v>
      </c>
      <c r="AH501" s="17" t="s">
        <v>94</v>
      </c>
      <c r="AI501" s="70" t="s">
        <v>6179</v>
      </c>
      <c r="AJ501" s="17" t="s">
        <v>6180</v>
      </c>
      <c r="AK501" s="17" t="s">
        <v>94</v>
      </c>
      <c r="AL501" s="17" t="s">
        <v>6181</v>
      </c>
      <c r="AM501" s="17" t="s">
        <v>95</v>
      </c>
      <c r="AN501" s="17" t="s">
        <v>94</v>
      </c>
      <c r="AO501" s="17" t="s">
        <v>6182</v>
      </c>
      <c r="AP501" s="17" t="s">
        <v>6183</v>
      </c>
      <c r="AQ501" s="17" t="s">
        <v>86</v>
      </c>
      <c r="AR501" s="17" t="s">
        <v>6184</v>
      </c>
      <c r="AS501" s="17" t="s">
        <v>6185</v>
      </c>
      <c r="AT501" s="17"/>
      <c r="AU501" s="30" t="s">
        <v>6186</v>
      </c>
      <c r="AV501" s="14">
        <v>11348</v>
      </c>
      <c r="AW501" s="74">
        <v>309826</v>
      </c>
      <c r="AX501" s="1"/>
      <c r="AY501" s="17" t="s">
        <v>101</v>
      </c>
    </row>
    <row r="502" spans="1:51" ht="15" customHeight="1" x14ac:dyDescent="0.25">
      <c r="A502" s="5">
        <v>491</v>
      </c>
      <c r="B502" s="9">
        <v>491</v>
      </c>
      <c r="C502" s="9" t="s">
        <v>6187</v>
      </c>
      <c r="D502" s="57" t="str">
        <f>HYPERLINK("http://prodenv.dep.state.fl.us/DepNexus/public/electronic-documents/OG_491/facility!search","OG_491_Docs")</f>
        <v>OG_491_Docs</v>
      </c>
      <c r="E502" s="57" t="str">
        <f>HYPERLINK("https://ca.dep.state.fl.us/mapdirect/?focus=oilandgas&amp;zoom=query&amp;querytype=oilandgas&amp;queryvalues=OG_491","OG_491_Map")</f>
        <v>OG_491_Map</v>
      </c>
      <c r="F502" s="1" t="s">
        <v>1752</v>
      </c>
      <c r="G502" s="1" t="s">
        <v>4496</v>
      </c>
      <c r="H502" s="1" t="s">
        <v>176</v>
      </c>
      <c r="I502" s="1" t="s">
        <v>6188</v>
      </c>
      <c r="J502" s="17" t="s">
        <v>268</v>
      </c>
      <c r="K502" s="17" t="s">
        <v>6189</v>
      </c>
      <c r="L502" s="17"/>
      <c r="M502" s="17"/>
      <c r="N502" s="52" t="s">
        <v>86</v>
      </c>
      <c r="O502" s="17" t="s">
        <v>86</v>
      </c>
      <c r="P502" s="17" t="s">
        <v>86</v>
      </c>
      <c r="Q502" s="81" t="s">
        <v>5108</v>
      </c>
      <c r="R502" s="11">
        <v>26.527640000000002</v>
      </c>
      <c r="S502" s="11">
        <v>-81.546467000000007</v>
      </c>
      <c r="T502" s="11" t="s">
        <v>6190</v>
      </c>
      <c r="U502" s="11" t="s">
        <v>6191</v>
      </c>
      <c r="V502" s="17" t="s">
        <v>6192</v>
      </c>
      <c r="W502" s="17" t="s">
        <v>110</v>
      </c>
      <c r="X502" s="70"/>
      <c r="Y502" s="70">
        <v>31</v>
      </c>
      <c r="Z502" s="13">
        <v>26085</v>
      </c>
      <c r="AA502" s="13">
        <v>26176</v>
      </c>
      <c r="AB502" s="13">
        <v>26187</v>
      </c>
      <c r="AC502" s="13">
        <v>32974</v>
      </c>
      <c r="AD502" s="86">
        <v>2286</v>
      </c>
      <c r="AE502" s="86">
        <v>2286</v>
      </c>
      <c r="AF502" s="70" t="s">
        <v>94</v>
      </c>
      <c r="AG502" s="17" t="s">
        <v>6193</v>
      </c>
      <c r="AH502" s="17" t="s">
        <v>94</v>
      </c>
      <c r="AI502" s="71" t="s">
        <v>6194</v>
      </c>
      <c r="AJ502" s="17" t="s">
        <v>6195</v>
      </c>
      <c r="AK502" s="17" t="s">
        <v>94</v>
      </c>
      <c r="AL502" s="17" t="s">
        <v>94</v>
      </c>
      <c r="AM502" s="17" t="s">
        <v>94</v>
      </c>
      <c r="AN502" s="17" t="s">
        <v>94</v>
      </c>
      <c r="AO502" s="17" t="s">
        <v>94</v>
      </c>
      <c r="AP502" s="17" t="s">
        <v>94</v>
      </c>
      <c r="AQ502" s="17" t="s">
        <v>94</v>
      </c>
      <c r="AR502" s="17" t="s">
        <v>94</v>
      </c>
      <c r="AS502" s="17" t="s">
        <v>6196</v>
      </c>
      <c r="AT502" s="17"/>
      <c r="AU502" s="30" t="s">
        <v>6197</v>
      </c>
      <c r="AV502" s="14" t="s">
        <v>94</v>
      </c>
      <c r="AW502" s="74"/>
      <c r="AX502" s="1" t="s">
        <v>6198</v>
      </c>
      <c r="AY502" s="17" t="s">
        <v>101</v>
      </c>
    </row>
    <row r="503" spans="1:51" ht="12.75" customHeight="1" x14ac:dyDescent="0.25">
      <c r="A503" s="5">
        <v>492</v>
      </c>
      <c r="B503" s="9">
        <v>492</v>
      </c>
      <c r="C503" s="9" t="s">
        <v>6199</v>
      </c>
      <c r="D503" s="57" t="str">
        <f>HYPERLINK("http://prodenv.dep.state.fl.us/DepNexus/public/electronic-documents/OG_492/facility!search","OG_492_Docs")</f>
        <v>OG_492_Docs</v>
      </c>
      <c r="E503" s="57" t="str">
        <f>HYPERLINK("https://ca.dep.state.fl.us/mapdirect/?focus=oilandgas&amp;zoom=query&amp;querytype=oilandgas&amp;queryvalues=OG_492","OG_492_Map")</f>
        <v>OG_492_Map</v>
      </c>
      <c r="F503" s="1" t="s">
        <v>1682</v>
      </c>
      <c r="G503" s="1" t="s">
        <v>5133</v>
      </c>
      <c r="H503" s="1" t="s">
        <v>1363</v>
      </c>
      <c r="I503" s="1" t="s">
        <v>6200</v>
      </c>
      <c r="J503" s="17" t="s">
        <v>5135</v>
      </c>
      <c r="K503" s="17" t="s">
        <v>4266</v>
      </c>
      <c r="L503" s="17"/>
      <c r="M503" s="17"/>
      <c r="N503" s="52" t="s">
        <v>6201</v>
      </c>
      <c r="O503" s="17" t="s">
        <v>86</v>
      </c>
      <c r="P503" s="17" t="s">
        <v>86</v>
      </c>
      <c r="Q503" s="81" t="s">
        <v>6202</v>
      </c>
      <c r="R503" s="11">
        <v>30.981397999999999</v>
      </c>
      <c r="S503" s="11">
        <v>-87.212896000000001</v>
      </c>
      <c r="T503" s="11" t="s">
        <v>6203</v>
      </c>
      <c r="U503" s="11" t="s">
        <v>6204</v>
      </c>
      <c r="V503" s="17" t="s">
        <v>6205</v>
      </c>
      <c r="W503" s="17" t="s">
        <v>6206</v>
      </c>
      <c r="X503" s="70">
        <v>74</v>
      </c>
      <c r="Y503" s="70">
        <v>49</v>
      </c>
      <c r="Z503" s="13">
        <v>26099</v>
      </c>
      <c r="AA503" s="13">
        <v>26105</v>
      </c>
      <c r="AB503" s="13">
        <v>26375</v>
      </c>
      <c r="AC503" s="13"/>
      <c r="AD503" s="86">
        <v>15865</v>
      </c>
      <c r="AE503" s="86">
        <v>15907</v>
      </c>
      <c r="AF503" s="70" t="s">
        <v>3351</v>
      </c>
      <c r="AG503" s="17" t="s">
        <v>4769</v>
      </c>
      <c r="AH503" s="23" t="s">
        <v>6207</v>
      </c>
      <c r="AI503" s="70" t="s">
        <v>6208</v>
      </c>
      <c r="AJ503" s="17" t="s">
        <v>6209</v>
      </c>
      <c r="AK503" s="17" t="s">
        <v>95</v>
      </c>
      <c r="AL503" s="17" t="s">
        <v>6210</v>
      </c>
      <c r="AM503" s="17" t="s">
        <v>95</v>
      </c>
      <c r="AN503" s="17" t="s">
        <v>86</v>
      </c>
      <c r="AO503" s="17" t="s">
        <v>6211</v>
      </c>
      <c r="AP503" s="17" t="s">
        <v>6212</v>
      </c>
      <c r="AQ503" s="17" t="s">
        <v>6213</v>
      </c>
      <c r="AR503" s="17" t="s">
        <v>6214</v>
      </c>
      <c r="AS503" s="17"/>
      <c r="AT503" s="17"/>
      <c r="AU503" s="30" t="s">
        <v>6215</v>
      </c>
      <c r="AV503" s="14">
        <v>10997</v>
      </c>
      <c r="AW503" s="74">
        <v>311580</v>
      </c>
      <c r="AX503" s="1" t="s">
        <v>6216</v>
      </c>
      <c r="AY503" s="17" t="s">
        <v>101</v>
      </c>
    </row>
    <row r="504" spans="1:51" ht="15" customHeight="1" x14ac:dyDescent="0.25">
      <c r="A504" s="5">
        <v>493</v>
      </c>
      <c r="B504" s="9">
        <v>493</v>
      </c>
      <c r="C504" s="9" t="s">
        <v>6217</v>
      </c>
      <c r="D504" s="57" t="str">
        <f>HYPERLINK("http://prodenv.dep.state.fl.us/DepNexus/public/electronic-documents/OG_493/facility!search","OG_493_Docs")</f>
        <v>OG_493_Docs</v>
      </c>
      <c r="E504" s="57" t="str">
        <f>HYPERLINK("https://ca.dep.state.fl.us/mapdirect/?focus=oilandgas&amp;zoom=query&amp;querytype=oilandgas&amp;queryvalues=OG_493","OG_493_Map")</f>
        <v>OG_493_Map</v>
      </c>
      <c r="F504" s="1" t="s">
        <v>1682</v>
      </c>
      <c r="G504" s="1" t="s">
        <v>5133</v>
      </c>
      <c r="H504" s="1" t="s">
        <v>5605</v>
      </c>
      <c r="I504" s="1" t="s">
        <v>6218</v>
      </c>
      <c r="J504" s="17" t="s">
        <v>268</v>
      </c>
      <c r="K504" s="17" t="s">
        <v>5525</v>
      </c>
      <c r="L504" s="17"/>
      <c r="M504" s="17"/>
      <c r="N504" s="52" t="s">
        <v>6046</v>
      </c>
      <c r="O504" s="17" t="s">
        <v>86</v>
      </c>
      <c r="P504" s="17" t="s">
        <v>86</v>
      </c>
      <c r="Q504" s="81" t="s">
        <v>6219</v>
      </c>
      <c r="R504" s="11">
        <v>30.995933000000001</v>
      </c>
      <c r="S504" s="11">
        <v>-87.178325000000001</v>
      </c>
      <c r="T504" s="11" t="s">
        <v>6220</v>
      </c>
      <c r="U504" s="11" t="s">
        <v>6221</v>
      </c>
      <c r="V504" s="17" t="s">
        <v>6222</v>
      </c>
      <c r="W504" s="17" t="s">
        <v>6223</v>
      </c>
      <c r="X504" s="70">
        <v>76</v>
      </c>
      <c r="Y504" s="70">
        <v>55.75</v>
      </c>
      <c r="Z504" s="13">
        <v>26099</v>
      </c>
      <c r="AA504" s="13">
        <v>26116</v>
      </c>
      <c r="AB504" s="13">
        <v>26271</v>
      </c>
      <c r="AC504" s="13">
        <v>38056</v>
      </c>
      <c r="AD504" s="86">
        <v>15518</v>
      </c>
      <c r="AE504" s="86">
        <v>15879</v>
      </c>
      <c r="AF504" s="70" t="s">
        <v>6224</v>
      </c>
      <c r="AG504" s="17" t="s">
        <v>6225</v>
      </c>
      <c r="AH504" s="17" t="s">
        <v>6226</v>
      </c>
      <c r="AI504" s="70" t="s">
        <v>6227</v>
      </c>
      <c r="AJ504" s="17" t="s">
        <v>6228</v>
      </c>
      <c r="AK504" s="17" t="s">
        <v>95</v>
      </c>
      <c r="AL504" s="17" t="s">
        <v>6229</v>
      </c>
      <c r="AM504" s="17" t="s">
        <v>95</v>
      </c>
      <c r="AN504" s="17" t="s">
        <v>86</v>
      </c>
      <c r="AO504" s="17" t="s">
        <v>6230</v>
      </c>
      <c r="AP504" s="17" t="s">
        <v>6231</v>
      </c>
      <c r="AQ504" s="17" t="s">
        <v>6232</v>
      </c>
      <c r="AR504" s="17" t="s">
        <v>6233</v>
      </c>
      <c r="AS504" s="17" t="s">
        <v>6234</v>
      </c>
      <c r="AT504" s="17"/>
      <c r="AU504" s="30" t="s">
        <v>6235</v>
      </c>
      <c r="AV504" s="14">
        <v>10998</v>
      </c>
      <c r="AW504" s="74"/>
      <c r="AX504" s="1"/>
      <c r="AY504" s="17" t="s">
        <v>101</v>
      </c>
    </row>
    <row r="505" spans="1:51" ht="15" customHeight="1" x14ac:dyDescent="0.25">
      <c r="A505" s="5">
        <v>494</v>
      </c>
      <c r="B505" s="9">
        <v>494</v>
      </c>
      <c r="C505" s="9" t="s">
        <v>6236</v>
      </c>
      <c r="D505" s="57" t="str">
        <f>HYPERLINK("http://prodenv.dep.state.fl.us/DepNexus/public/electronic-documents/OG_494/facility!search","OG_494_Docs")</f>
        <v>OG_494_Docs</v>
      </c>
      <c r="E505" s="57" t="str">
        <f>HYPERLINK("https://ca.dep.state.fl.us/mapdirect/?focus=oilandgas&amp;zoom=query&amp;querytype=oilandgas&amp;queryvalues=OG_494","OG_494_Map")</f>
        <v>OG_494_Map</v>
      </c>
      <c r="F505" s="1" t="s">
        <v>1797</v>
      </c>
      <c r="G505" s="1" t="s">
        <v>5133</v>
      </c>
      <c r="H505" s="1" t="s">
        <v>176</v>
      </c>
      <c r="I505" s="1" t="s">
        <v>6237</v>
      </c>
      <c r="J505" s="17" t="s">
        <v>268</v>
      </c>
      <c r="K505" s="17" t="s">
        <v>412</v>
      </c>
      <c r="L505" s="17"/>
      <c r="M505" s="17"/>
      <c r="N505" s="52" t="s">
        <v>6046</v>
      </c>
      <c r="O505" s="17" t="s">
        <v>86</v>
      </c>
      <c r="P505" s="17" t="s">
        <v>86</v>
      </c>
      <c r="Q505" s="81" t="s">
        <v>6238</v>
      </c>
      <c r="R505" s="11">
        <v>30.980319000000001</v>
      </c>
      <c r="S505" s="11">
        <v>-87.178099000000003</v>
      </c>
      <c r="T505" s="11" t="s">
        <v>6239</v>
      </c>
      <c r="U505" s="11" t="s">
        <v>6240</v>
      </c>
      <c r="V505" s="17" t="s">
        <v>6241</v>
      </c>
      <c r="W505" s="17" t="s">
        <v>6242</v>
      </c>
      <c r="X505" s="70">
        <v>94</v>
      </c>
      <c r="Y505" s="70">
        <v>77</v>
      </c>
      <c r="Z505" s="13">
        <v>26099</v>
      </c>
      <c r="AA505" s="13">
        <v>26187</v>
      </c>
      <c r="AB505" s="13">
        <v>26401</v>
      </c>
      <c r="AC505" s="13">
        <v>38012</v>
      </c>
      <c r="AD505" s="86">
        <v>15627</v>
      </c>
      <c r="AE505" s="86">
        <v>16013</v>
      </c>
      <c r="AF505" s="70" t="s">
        <v>6243</v>
      </c>
      <c r="AG505" s="17" t="s">
        <v>6244</v>
      </c>
      <c r="AH505" s="17" t="s">
        <v>86</v>
      </c>
      <c r="AI505" s="70" t="s">
        <v>6245</v>
      </c>
      <c r="AJ505" s="17" t="s">
        <v>6246</v>
      </c>
      <c r="AK505" s="17" t="s">
        <v>95</v>
      </c>
      <c r="AL505" s="17" t="s">
        <v>6247</v>
      </c>
      <c r="AM505" s="17" t="s">
        <v>94</v>
      </c>
      <c r="AN505" s="17" t="s">
        <v>86</v>
      </c>
      <c r="AO505" s="17" t="s">
        <v>6248</v>
      </c>
      <c r="AP505" s="17" t="s">
        <v>6249</v>
      </c>
      <c r="AQ505" s="17" t="s">
        <v>6250</v>
      </c>
      <c r="AR505" s="17" t="s">
        <v>6251</v>
      </c>
      <c r="AS505" s="17" t="s">
        <v>6252</v>
      </c>
      <c r="AT505" s="17">
        <v>282</v>
      </c>
      <c r="AU505" s="30" t="s">
        <v>6253</v>
      </c>
      <c r="AV505" s="14">
        <v>11162</v>
      </c>
      <c r="AW505" s="74"/>
      <c r="AX505" s="1"/>
      <c r="AY505" s="17" t="s">
        <v>101</v>
      </c>
    </row>
    <row r="506" spans="1:51" ht="15" customHeight="1" x14ac:dyDescent="0.25">
      <c r="A506" s="5">
        <v>495</v>
      </c>
      <c r="B506" s="9">
        <v>495</v>
      </c>
      <c r="C506" s="9" t="s">
        <v>6254</v>
      </c>
      <c r="D506" s="57" t="str">
        <f>HYPERLINK("http://prodenv.dep.state.fl.us/DepNexus/public/electronic-documents/OG_495/facility!search","OG_495_Docs")</f>
        <v>OG_495_Docs</v>
      </c>
      <c r="E506" s="57" t="str">
        <f>HYPERLINK("https://ca.dep.state.fl.us/mapdirect/?focus=oilandgas&amp;zoom=query&amp;querytype=oilandgas&amp;queryvalues=OG_495","OG_495_Map")</f>
        <v>OG_495_Map</v>
      </c>
      <c r="F506" s="1" t="s">
        <v>1797</v>
      </c>
      <c r="G506" s="1" t="s">
        <v>5133</v>
      </c>
      <c r="H506" s="1" t="s">
        <v>1363</v>
      </c>
      <c r="I506" s="1" t="s">
        <v>6255</v>
      </c>
      <c r="J506" s="17" t="s">
        <v>1476</v>
      </c>
      <c r="K506" s="17" t="s">
        <v>412</v>
      </c>
      <c r="L506" s="17"/>
      <c r="M506" s="17"/>
      <c r="N506" s="52" t="s">
        <v>6256</v>
      </c>
      <c r="O506" s="17" t="s">
        <v>86</v>
      </c>
      <c r="P506" s="17" t="s">
        <v>86</v>
      </c>
      <c r="Q506" s="81" t="s">
        <v>6238</v>
      </c>
      <c r="R506" s="11">
        <v>30.979223000000001</v>
      </c>
      <c r="S506" s="11">
        <v>-87.178318000000004</v>
      </c>
      <c r="T506" s="11" t="s">
        <v>6257</v>
      </c>
      <c r="U506" s="11" t="s">
        <v>6258</v>
      </c>
      <c r="V506" s="17" t="s">
        <v>6259</v>
      </c>
      <c r="W506" s="17" t="s">
        <v>6260</v>
      </c>
      <c r="X506" s="70">
        <v>94.9</v>
      </c>
      <c r="Y506" s="70">
        <v>77.099999999999994</v>
      </c>
      <c r="Z506" s="13">
        <v>26099</v>
      </c>
      <c r="AA506" s="13">
        <v>26344</v>
      </c>
      <c r="AB506" s="13">
        <v>26460</v>
      </c>
      <c r="AC506" s="13">
        <v>45091</v>
      </c>
      <c r="AD506" s="70">
        <v>15245</v>
      </c>
      <c r="AE506" s="86">
        <v>15983</v>
      </c>
      <c r="AF506" s="71" t="s">
        <v>6261</v>
      </c>
      <c r="AG506" s="17" t="s">
        <v>6262</v>
      </c>
      <c r="AH506" s="17" t="s">
        <v>94</v>
      </c>
      <c r="AI506" s="71" t="s">
        <v>6263</v>
      </c>
      <c r="AJ506" s="17" t="s">
        <v>6264</v>
      </c>
      <c r="AK506" s="17" t="s">
        <v>94</v>
      </c>
      <c r="AL506" s="17" t="s">
        <v>6265</v>
      </c>
      <c r="AM506" s="17" t="s">
        <v>94</v>
      </c>
      <c r="AN506" s="17" t="s">
        <v>86</v>
      </c>
      <c r="AO506" s="17">
        <v>1305</v>
      </c>
      <c r="AP506" s="17">
        <v>1221</v>
      </c>
      <c r="AQ506" s="17" t="s">
        <v>6266</v>
      </c>
      <c r="AR506" s="17" t="s">
        <v>6267</v>
      </c>
      <c r="AS506" s="17" t="s">
        <v>6268</v>
      </c>
      <c r="AT506" s="17"/>
      <c r="AU506" s="30" t="s">
        <v>6269</v>
      </c>
      <c r="AV506" s="14">
        <v>11382</v>
      </c>
      <c r="AW506" s="74">
        <v>309874</v>
      </c>
      <c r="AX506" s="1" t="s">
        <v>6270</v>
      </c>
      <c r="AY506" s="17" t="s">
        <v>101</v>
      </c>
    </row>
    <row r="507" spans="1:51" ht="15" customHeight="1" x14ac:dyDescent="0.25">
      <c r="A507" s="5">
        <v>496</v>
      </c>
      <c r="B507" s="9">
        <v>496</v>
      </c>
      <c r="C507" s="9" t="s">
        <v>6271</v>
      </c>
      <c r="D507" s="57" t="str">
        <f>HYPERLINK("http://prodenv.dep.state.fl.us/DepNexus/public/electronic-documents/OG_496/facility!search","OG_496_Docs")</f>
        <v>OG_496_Docs</v>
      </c>
      <c r="E507" s="57" t="str">
        <f>HYPERLINK("https://ca.dep.state.fl.us/mapdirect/?focus=oilandgas&amp;zoom=query&amp;querytype=oilandgas&amp;queryvalues=OG_496","OG_496_Map")</f>
        <v>OG_496_Map</v>
      </c>
      <c r="F507" s="1" t="s">
        <v>1797</v>
      </c>
      <c r="G507" s="1" t="s">
        <v>5133</v>
      </c>
      <c r="H507" s="1" t="s">
        <v>1363</v>
      </c>
      <c r="I507" s="1" t="s">
        <v>6272</v>
      </c>
      <c r="J507" s="17" t="s">
        <v>5135</v>
      </c>
      <c r="K507" s="17" t="s">
        <v>4266</v>
      </c>
      <c r="L507" s="17"/>
      <c r="M507" s="17"/>
      <c r="N507" s="52" t="s">
        <v>6273</v>
      </c>
      <c r="O507" s="17" t="s">
        <v>86</v>
      </c>
      <c r="P507" s="17" t="s">
        <v>86</v>
      </c>
      <c r="Q507" s="81" t="s">
        <v>6238</v>
      </c>
      <c r="R507" s="11">
        <v>30.977077000000001</v>
      </c>
      <c r="S507" s="11">
        <v>-87.180077999999995</v>
      </c>
      <c r="T507" s="11" t="s">
        <v>6274</v>
      </c>
      <c r="U507" s="11" t="s">
        <v>6275</v>
      </c>
      <c r="V507" s="17" t="s">
        <v>6276</v>
      </c>
      <c r="W507" s="17" t="s">
        <v>110</v>
      </c>
      <c r="X507" s="70">
        <v>80.900000000000006</v>
      </c>
      <c r="Y507" s="70">
        <v>62.2</v>
      </c>
      <c r="Z507" s="13">
        <v>26099</v>
      </c>
      <c r="AA507" s="13">
        <v>26382</v>
      </c>
      <c r="AB507" s="13">
        <v>26530</v>
      </c>
      <c r="AC507" s="13"/>
      <c r="AD507" s="86">
        <v>15846</v>
      </c>
      <c r="AE507" s="86">
        <v>15846</v>
      </c>
      <c r="AF507" s="71" t="s">
        <v>2158</v>
      </c>
      <c r="AG507" s="17" t="s">
        <v>6277</v>
      </c>
      <c r="AH507" s="17" t="s">
        <v>94</v>
      </c>
      <c r="AI507" s="70" t="s">
        <v>6278</v>
      </c>
      <c r="AJ507" s="17" t="s">
        <v>6279</v>
      </c>
      <c r="AK507" s="17" t="s">
        <v>94</v>
      </c>
      <c r="AL507" s="17" t="s">
        <v>6280</v>
      </c>
      <c r="AM507" s="17" t="s">
        <v>94</v>
      </c>
      <c r="AN507" s="17" t="s">
        <v>86</v>
      </c>
      <c r="AO507" s="17" t="s">
        <v>6281</v>
      </c>
      <c r="AP507" s="17" t="s">
        <v>6282</v>
      </c>
      <c r="AQ507" s="17" t="s">
        <v>5243</v>
      </c>
      <c r="AR507" s="17" t="s">
        <v>6283</v>
      </c>
      <c r="AS507" s="17"/>
      <c r="AT507" s="17"/>
      <c r="AU507" s="30" t="s">
        <v>6284</v>
      </c>
      <c r="AV507" s="14">
        <v>10999</v>
      </c>
      <c r="AW507" s="74">
        <v>311581</v>
      </c>
      <c r="AX507" s="1" t="s">
        <v>6285</v>
      </c>
      <c r="AY507" s="17" t="s">
        <v>101</v>
      </c>
    </row>
    <row r="508" spans="1:51" ht="15" customHeight="1" x14ac:dyDescent="0.25">
      <c r="A508" s="5">
        <v>497</v>
      </c>
      <c r="B508" s="9">
        <v>497</v>
      </c>
      <c r="C508" s="9" t="s">
        <v>6286</v>
      </c>
      <c r="D508" s="57" t="str">
        <f>HYPERLINK("http://prodenv.dep.state.fl.us/DepNexus/public/electronic-documents/OG_497/facility!search","OG_497_Docs")</f>
        <v>OG_497_Docs</v>
      </c>
      <c r="E508" s="57" t="str">
        <f>HYPERLINK("https://ca.dep.state.fl.us/mapdirect/?focus=oilandgas&amp;zoom=query&amp;querytype=oilandgas&amp;queryvalues=OG_497","OG_497_Map")</f>
        <v>OG_497_Map</v>
      </c>
      <c r="F508" s="1" t="s">
        <v>1797</v>
      </c>
      <c r="G508" s="1" t="s">
        <v>79</v>
      </c>
      <c r="H508" s="1" t="s">
        <v>6287</v>
      </c>
      <c r="I508" s="1" t="s">
        <v>6288</v>
      </c>
      <c r="J508" s="17" t="s">
        <v>82</v>
      </c>
      <c r="K508" s="17" t="s">
        <v>83</v>
      </c>
      <c r="L508" s="17"/>
      <c r="M508" s="17"/>
      <c r="N508" s="52" t="s">
        <v>6289</v>
      </c>
      <c r="O508" s="17" t="s">
        <v>86</v>
      </c>
      <c r="P508" s="17" t="s">
        <v>86</v>
      </c>
      <c r="Q508" s="81" t="s">
        <v>6290</v>
      </c>
      <c r="R508" s="11">
        <v>30.87068</v>
      </c>
      <c r="S508" s="11">
        <v>-87.187129999999996</v>
      </c>
      <c r="T508" s="11" t="s">
        <v>6291</v>
      </c>
      <c r="U508" s="11" t="s">
        <v>6292</v>
      </c>
      <c r="V508" s="17" t="s">
        <v>6293</v>
      </c>
      <c r="W508" s="17" t="s">
        <v>110</v>
      </c>
      <c r="X508" s="70">
        <v>236</v>
      </c>
      <c r="Y508" s="70">
        <v>218</v>
      </c>
      <c r="Z508" s="13">
        <v>26106</v>
      </c>
      <c r="AA508" s="13">
        <v>26115</v>
      </c>
      <c r="AB508" s="13">
        <v>26190</v>
      </c>
      <c r="AC508" s="13">
        <v>26201</v>
      </c>
      <c r="AD508" s="86">
        <v>16734</v>
      </c>
      <c r="AE508" s="86">
        <v>16734</v>
      </c>
      <c r="AF508" s="70" t="s">
        <v>1206</v>
      </c>
      <c r="AG508" s="17" t="s">
        <v>6294</v>
      </c>
      <c r="AH508" s="17" t="s">
        <v>94</v>
      </c>
      <c r="AI508" s="70" t="s">
        <v>94</v>
      </c>
      <c r="AJ508" s="17" t="s">
        <v>94</v>
      </c>
      <c r="AK508" s="17" t="s">
        <v>95</v>
      </c>
      <c r="AL508" s="17" t="s">
        <v>6295</v>
      </c>
      <c r="AM508" s="17" t="s">
        <v>94</v>
      </c>
      <c r="AN508" s="17" t="s">
        <v>94</v>
      </c>
      <c r="AO508" s="17" t="s">
        <v>98</v>
      </c>
      <c r="AP508" s="17" t="s">
        <v>98</v>
      </c>
      <c r="AQ508" s="17" t="s">
        <v>98</v>
      </c>
      <c r="AR508" s="17" t="s">
        <v>94</v>
      </c>
      <c r="AS508" s="17" t="s">
        <v>6296</v>
      </c>
      <c r="AT508" s="17"/>
      <c r="AU508" s="30" t="s">
        <v>6297</v>
      </c>
      <c r="AV508" s="14">
        <v>10995</v>
      </c>
      <c r="AW508" s="74"/>
      <c r="AX508" s="1"/>
      <c r="AY508" s="17" t="s">
        <v>101</v>
      </c>
    </row>
    <row r="509" spans="1:51" ht="12.75" customHeight="1" x14ac:dyDescent="0.25">
      <c r="A509" s="5">
        <v>498</v>
      </c>
      <c r="B509" s="9">
        <v>498</v>
      </c>
      <c r="C509" s="9" t="s">
        <v>6298</v>
      </c>
      <c r="D509" s="57" t="str">
        <f>HYPERLINK("http://prodenv.dep.state.fl.us/DepNexus/public/electronic-documents/OG_498/facility!search","OG_498_Docs")</f>
        <v>OG_498_Docs</v>
      </c>
      <c r="E509" s="57" t="str">
        <f>HYPERLINK("https://ca.dep.state.fl.us/mapdirect/?focus=oilandgas&amp;zoom=query&amp;querytype=oilandgas&amp;queryvalues=OG_498","OG_498_Map")</f>
        <v>OG_498_Map</v>
      </c>
      <c r="F509" s="1" t="s">
        <v>1797</v>
      </c>
      <c r="G509" s="1" t="s">
        <v>5133</v>
      </c>
      <c r="H509" s="1" t="s">
        <v>1363</v>
      </c>
      <c r="I509" s="1" t="s">
        <v>6299</v>
      </c>
      <c r="J509" s="17" t="s">
        <v>5135</v>
      </c>
      <c r="K509" s="17" t="s">
        <v>4266</v>
      </c>
      <c r="L509" s="17"/>
      <c r="M509" s="17"/>
      <c r="N509" s="52" t="s">
        <v>6300</v>
      </c>
      <c r="O509" s="17" t="s">
        <v>86</v>
      </c>
      <c r="P509" s="17" t="s">
        <v>86</v>
      </c>
      <c r="Q509" s="81" t="s">
        <v>6301</v>
      </c>
      <c r="R509" s="11">
        <v>30.991519</v>
      </c>
      <c r="S509" s="11">
        <v>-87.163145</v>
      </c>
      <c r="T509" s="11" t="s">
        <v>6302</v>
      </c>
      <c r="U509" s="11" t="s">
        <v>6303</v>
      </c>
      <c r="V509" s="17" t="s">
        <v>6304</v>
      </c>
      <c r="W509" s="17" t="s">
        <v>110</v>
      </c>
      <c r="X509" s="70">
        <v>77.13</v>
      </c>
      <c r="Y509" s="70">
        <v>54.11</v>
      </c>
      <c r="Z509" s="13">
        <v>26106</v>
      </c>
      <c r="AA509" s="13">
        <v>26448</v>
      </c>
      <c r="AB509" s="13">
        <v>26618</v>
      </c>
      <c r="AC509" s="13"/>
      <c r="AD509" s="86">
        <v>15677</v>
      </c>
      <c r="AE509" s="86">
        <v>15677</v>
      </c>
      <c r="AF509" s="70" t="s">
        <v>6305</v>
      </c>
      <c r="AG509" s="17" t="s">
        <v>6306</v>
      </c>
      <c r="AH509" s="17" t="s">
        <v>94</v>
      </c>
      <c r="AI509" s="70" t="s">
        <v>6307</v>
      </c>
      <c r="AJ509" s="17" t="s">
        <v>6308</v>
      </c>
      <c r="AK509" s="17" t="s">
        <v>95</v>
      </c>
      <c r="AL509" s="17" t="s">
        <v>6309</v>
      </c>
      <c r="AM509" s="17" t="s">
        <v>95</v>
      </c>
      <c r="AN509" s="17" t="s">
        <v>94</v>
      </c>
      <c r="AO509" s="17" t="s">
        <v>6310</v>
      </c>
      <c r="AP509" s="17" t="s">
        <v>6311</v>
      </c>
      <c r="AQ509" s="17" t="s">
        <v>6312</v>
      </c>
      <c r="AR509" s="17" t="s">
        <v>6313</v>
      </c>
      <c r="AS509" s="17"/>
      <c r="AT509" s="17"/>
      <c r="AU509" s="30" t="s">
        <v>6314</v>
      </c>
      <c r="AV509" s="14">
        <v>11451</v>
      </c>
      <c r="AW509" s="74">
        <v>311582</v>
      </c>
      <c r="AX509" s="1" t="s">
        <v>6315</v>
      </c>
      <c r="AY509" s="17" t="s">
        <v>101</v>
      </c>
    </row>
    <row r="510" spans="1:51" ht="15" customHeight="1" x14ac:dyDescent="0.25">
      <c r="A510" s="5">
        <v>499</v>
      </c>
      <c r="B510" s="9">
        <v>499</v>
      </c>
      <c r="C510" s="9" t="s">
        <v>6316</v>
      </c>
      <c r="D510" s="57" t="str">
        <f>HYPERLINK("http://prodenv.dep.state.fl.us/DepNexus/public/electronic-documents/OG_499/facility!search","OG_499_Docs")</f>
        <v>OG_499_Docs</v>
      </c>
      <c r="E510" s="57" t="str">
        <f>HYPERLINK("https://ca.dep.state.fl.us/mapdirect/?focus=oilandgas&amp;zoom=query&amp;querytype=oilandgas&amp;queryvalues=OG_499","OG_499_Map")</f>
        <v>OG_499_Map</v>
      </c>
      <c r="F510" s="1" t="s">
        <v>2026</v>
      </c>
      <c r="G510" s="1" t="s">
        <v>4496</v>
      </c>
      <c r="H510" s="1" t="s">
        <v>176</v>
      </c>
      <c r="I510" s="1" t="s">
        <v>6317</v>
      </c>
      <c r="J510" s="17" t="s">
        <v>207</v>
      </c>
      <c r="K510" s="17" t="s">
        <v>208</v>
      </c>
      <c r="L510" s="17"/>
      <c r="M510" s="17" t="s">
        <v>207</v>
      </c>
      <c r="N510" s="52" t="s">
        <v>86</v>
      </c>
      <c r="O510" s="17" t="s">
        <v>86</v>
      </c>
      <c r="P510" s="17" t="s">
        <v>86</v>
      </c>
      <c r="Q510" s="81" t="s">
        <v>6318</v>
      </c>
      <c r="R510" s="11">
        <v>26.567115000000001</v>
      </c>
      <c r="S510" s="11">
        <v>-81.584812999999997</v>
      </c>
      <c r="T510" s="11" t="s">
        <v>6319</v>
      </c>
      <c r="U510" s="11" t="s">
        <v>6320</v>
      </c>
      <c r="V510" s="17" t="s">
        <v>6321</v>
      </c>
      <c r="W510" s="17" t="s">
        <v>110</v>
      </c>
      <c r="X510" s="70"/>
      <c r="Y510" s="70"/>
      <c r="Z510" s="13">
        <v>26113</v>
      </c>
      <c r="AA510" s="13"/>
      <c r="AB510" s="13"/>
      <c r="AC510" s="13"/>
      <c r="AD510" s="86"/>
      <c r="AE510" s="70"/>
      <c r="AF510" s="70" t="s">
        <v>207</v>
      </c>
      <c r="AG510" s="14" t="s">
        <v>207</v>
      </c>
      <c r="AH510" s="14" t="s">
        <v>207</v>
      </c>
      <c r="AI510" s="70" t="s">
        <v>207</v>
      </c>
      <c r="AJ510" s="14" t="s">
        <v>207</v>
      </c>
      <c r="AK510" s="14" t="s">
        <v>207</v>
      </c>
      <c r="AL510" s="14" t="s">
        <v>207</v>
      </c>
      <c r="AM510" s="14" t="s">
        <v>207</v>
      </c>
      <c r="AN510" s="14" t="s">
        <v>207</v>
      </c>
      <c r="AO510" s="14" t="s">
        <v>207</v>
      </c>
      <c r="AP510" s="14" t="s">
        <v>207</v>
      </c>
      <c r="AQ510" s="14" t="s">
        <v>207</v>
      </c>
      <c r="AR510" s="14" t="s">
        <v>207</v>
      </c>
      <c r="AS510" s="14" t="s">
        <v>207</v>
      </c>
      <c r="AT510" s="14" t="s">
        <v>207</v>
      </c>
      <c r="AU510" s="30" t="s">
        <v>6322</v>
      </c>
      <c r="AV510" s="14" t="s">
        <v>207</v>
      </c>
      <c r="AW510" s="74"/>
      <c r="AX510" s="1"/>
      <c r="AY510" s="17" t="s">
        <v>101</v>
      </c>
    </row>
    <row r="511" spans="1:51" ht="12.75" customHeight="1" x14ac:dyDescent="0.25">
      <c r="A511" s="5">
        <v>500</v>
      </c>
      <c r="B511" s="9">
        <v>500</v>
      </c>
      <c r="C511" s="9" t="s">
        <v>6323</v>
      </c>
      <c r="D511" s="57" t="str">
        <f>HYPERLINK("http://prodenv.dep.state.fl.us/DepNexus/public/electronic-documents/OG_500/facility!search","OG_500_Docs")</f>
        <v>OG_500_Docs</v>
      </c>
      <c r="E511" s="57" t="str">
        <f>HYPERLINK("https://ca.dep.state.fl.us/mapdirect/?focus=oilandgas&amp;zoom=query&amp;querytype=oilandgas&amp;queryvalues=OG_500","OG_500_Map")</f>
        <v>OG_500_Map</v>
      </c>
      <c r="F511" s="1" t="s">
        <v>265</v>
      </c>
      <c r="G511" s="1" t="s">
        <v>79</v>
      </c>
      <c r="H511" s="1" t="s">
        <v>6324</v>
      </c>
      <c r="I511" s="1" t="s">
        <v>6325</v>
      </c>
      <c r="J511" s="17" t="s">
        <v>82</v>
      </c>
      <c r="K511" s="17" t="s">
        <v>83</v>
      </c>
      <c r="L511" s="17"/>
      <c r="M511" s="17"/>
      <c r="N511" s="52" t="s">
        <v>6029</v>
      </c>
      <c r="O511" s="17" t="s">
        <v>270</v>
      </c>
      <c r="P511" s="17" t="s">
        <v>3395</v>
      </c>
      <c r="Q511" s="81" t="s">
        <v>6326</v>
      </c>
      <c r="R511" s="11">
        <v>26.228161</v>
      </c>
      <c r="S511" s="11">
        <v>-81.232426000000004</v>
      </c>
      <c r="T511" s="11" t="s">
        <v>6327</v>
      </c>
      <c r="U511" s="11" t="s">
        <v>6328</v>
      </c>
      <c r="V511" s="17" t="s">
        <v>6329</v>
      </c>
      <c r="W511" s="17" t="s">
        <v>110</v>
      </c>
      <c r="X511" s="70">
        <v>32.659999999999997</v>
      </c>
      <c r="Y511" s="70">
        <v>15.6</v>
      </c>
      <c r="Z511" s="13">
        <v>26120</v>
      </c>
      <c r="AA511" s="13">
        <v>26189</v>
      </c>
      <c r="AB511" s="13"/>
      <c r="AC511" s="13">
        <v>26274</v>
      </c>
      <c r="AD511" s="86">
        <v>11847</v>
      </c>
      <c r="AE511" s="86">
        <v>11847</v>
      </c>
      <c r="AF511" s="70" t="s">
        <v>5678</v>
      </c>
      <c r="AG511" s="17" t="s">
        <v>6330</v>
      </c>
      <c r="AH511" s="23" t="s">
        <v>6331</v>
      </c>
      <c r="AI511" s="70" t="s">
        <v>6332</v>
      </c>
      <c r="AJ511" s="17" t="s">
        <v>94</v>
      </c>
      <c r="AK511" s="17" t="s">
        <v>95</v>
      </c>
      <c r="AL511" s="17" t="s">
        <v>95</v>
      </c>
      <c r="AM511" s="17" t="s">
        <v>94</v>
      </c>
      <c r="AN511" s="17" t="s">
        <v>94</v>
      </c>
      <c r="AO511" s="17" t="s">
        <v>98</v>
      </c>
      <c r="AP511" s="17" t="s">
        <v>98</v>
      </c>
      <c r="AQ511" s="17" t="s">
        <v>98</v>
      </c>
      <c r="AR511" s="17" t="s">
        <v>6333</v>
      </c>
      <c r="AS511" s="17" t="s">
        <v>6334</v>
      </c>
      <c r="AT511" s="17"/>
      <c r="AU511" s="30" t="s">
        <v>6335</v>
      </c>
      <c r="AV511" s="14">
        <v>11149</v>
      </c>
      <c r="AW511" s="74"/>
      <c r="AX511" s="1"/>
      <c r="AY511" s="17" t="s">
        <v>101</v>
      </c>
    </row>
    <row r="512" spans="1:51" ht="12.75" customHeight="1" x14ac:dyDescent="0.25">
      <c r="A512" s="5">
        <v>501</v>
      </c>
      <c r="B512" s="9">
        <v>501</v>
      </c>
      <c r="C512" s="9" t="s">
        <v>6336</v>
      </c>
      <c r="D512" s="57" t="str">
        <f>HYPERLINK("http://prodenv.dep.state.fl.us/DepNexus/public/electronic-documents/OG_501/facility!search","OG_501_Docs")</f>
        <v>OG_501_Docs</v>
      </c>
      <c r="E512" s="57" t="str">
        <f>HYPERLINK("https://ca.dep.state.fl.us/mapdirect/?focus=oilandgas&amp;zoom=query&amp;querytype=oilandgas&amp;queryvalues=OG_501","OG_501_Map")</f>
        <v>OG_501_Map</v>
      </c>
      <c r="F512" s="1" t="s">
        <v>1682</v>
      </c>
      <c r="G512" s="1" t="s">
        <v>79</v>
      </c>
      <c r="H512" s="1" t="s">
        <v>6287</v>
      </c>
      <c r="I512" s="1" t="s">
        <v>6337</v>
      </c>
      <c r="J512" s="17" t="s">
        <v>82</v>
      </c>
      <c r="K512" s="17" t="s">
        <v>83</v>
      </c>
      <c r="L512" s="17"/>
      <c r="M512" s="17"/>
      <c r="N512" s="52" t="s">
        <v>6338</v>
      </c>
      <c r="O512" s="17" t="s">
        <v>86</v>
      </c>
      <c r="P512" s="17" t="s">
        <v>86</v>
      </c>
      <c r="Q512" s="81" t="s">
        <v>6339</v>
      </c>
      <c r="R512" s="11">
        <v>30.948646</v>
      </c>
      <c r="S512" s="11">
        <v>-87.456806</v>
      </c>
      <c r="T512" s="11" t="s">
        <v>6340</v>
      </c>
      <c r="U512" s="11" t="s">
        <v>6341</v>
      </c>
      <c r="V512" s="17" t="s">
        <v>6342</v>
      </c>
      <c r="W512" s="17" t="s">
        <v>110</v>
      </c>
      <c r="X512" s="70">
        <v>245</v>
      </c>
      <c r="Y512" s="70">
        <v>224</v>
      </c>
      <c r="Z512" s="13">
        <v>26134</v>
      </c>
      <c r="AA512" s="13">
        <v>26192</v>
      </c>
      <c r="AB512" s="13">
        <v>26317</v>
      </c>
      <c r="AC512" s="13">
        <v>26504</v>
      </c>
      <c r="AD512" s="86">
        <v>16943</v>
      </c>
      <c r="AE512" s="86">
        <v>16943</v>
      </c>
      <c r="AF512" s="71" t="s">
        <v>6343</v>
      </c>
      <c r="AG512" s="17" t="s">
        <v>6344</v>
      </c>
      <c r="AH512" s="17" t="s">
        <v>6345</v>
      </c>
      <c r="AI512" s="70" t="s">
        <v>94</v>
      </c>
      <c r="AJ512" s="17" t="s">
        <v>94</v>
      </c>
      <c r="AK512" s="17" t="s">
        <v>95</v>
      </c>
      <c r="AL512" s="17" t="s">
        <v>6346</v>
      </c>
      <c r="AM512" s="17" t="s">
        <v>94</v>
      </c>
      <c r="AN512" s="17" t="s">
        <v>94</v>
      </c>
      <c r="AO512" s="17" t="s">
        <v>98</v>
      </c>
      <c r="AP512" s="17" t="s">
        <v>98</v>
      </c>
      <c r="AQ512" s="17" t="s">
        <v>98</v>
      </c>
      <c r="AR512" s="17" t="s">
        <v>94</v>
      </c>
      <c r="AS512" s="17" t="s">
        <v>6347</v>
      </c>
      <c r="AT512" s="17"/>
      <c r="AU512" s="30" t="s">
        <v>6348</v>
      </c>
      <c r="AV512" s="14">
        <v>11083</v>
      </c>
      <c r="AW512" s="74"/>
      <c r="AX512" s="1"/>
      <c r="AY512" s="17" t="s">
        <v>101</v>
      </c>
    </row>
    <row r="513" spans="1:51" ht="12.75" customHeight="1" x14ac:dyDescent="0.25">
      <c r="A513" s="5">
        <v>502</v>
      </c>
      <c r="B513" s="9">
        <v>502</v>
      </c>
      <c r="C513" s="9" t="s">
        <v>6349</v>
      </c>
      <c r="D513" s="57" t="str">
        <f>HYPERLINK("http://prodenv.dep.state.fl.us/DepNexus/public/electronic-documents/OG_502/facility!search","OG_502_Docs")</f>
        <v>OG_502_Docs</v>
      </c>
      <c r="E513" s="57" t="str">
        <f>HYPERLINK("https://ca.dep.state.fl.us/mapdirect/?focus=oilandgas&amp;zoom=query&amp;querytype=oilandgas&amp;queryvalues=OG_502","OG_502_Map")</f>
        <v>OG_502_Map</v>
      </c>
      <c r="F513" s="1" t="s">
        <v>1797</v>
      </c>
      <c r="G513" s="1" t="s">
        <v>5133</v>
      </c>
      <c r="H513" s="1" t="s">
        <v>176</v>
      </c>
      <c r="I513" s="1" t="s">
        <v>6350</v>
      </c>
      <c r="J513" s="17" t="s">
        <v>268</v>
      </c>
      <c r="K513" s="17" t="s">
        <v>269</v>
      </c>
      <c r="L513" s="17"/>
      <c r="M513" s="17"/>
      <c r="N513" s="52" t="s">
        <v>6351</v>
      </c>
      <c r="O513" s="17" t="s">
        <v>86</v>
      </c>
      <c r="P513" s="17" t="s">
        <v>86</v>
      </c>
      <c r="Q513" s="81" t="s">
        <v>6352</v>
      </c>
      <c r="R513" s="11">
        <v>30.907661000000001</v>
      </c>
      <c r="S513" s="11">
        <v>-87.170226999999997</v>
      </c>
      <c r="T513" s="11" t="s">
        <v>6353</v>
      </c>
      <c r="U513" s="11" t="s">
        <v>6354</v>
      </c>
      <c r="V513" s="17" t="s">
        <v>6355</v>
      </c>
      <c r="W513" s="17" t="s">
        <v>110</v>
      </c>
      <c r="X513" s="70">
        <v>281.60000000000002</v>
      </c>
      <c r="Y513" s="70">
        <v>256.42</v>
      </c>
      <c r="Z513" s="13">
        <v>26134</v>
      </c>
      <c r="AA513" s="13">
        <v>26144</v>
      </c>
      <c r="AB513" s="13">
        <v>26550</v>
      </c>
      <c r="AC513" s="13">
        <v>32282</v>
      </c>
      <c r="AD513" s="86">
        <v>16373</v>
      </c>
      <c r="AE513" s="86">
        <v>16373</v>
      </c>
      <c r="AF513" s="70" t="s">
        <v>1813</v>
      </c>
      <c r="AG513" s="17" t="s">
        <v>6356</v>
      </c>
      <c r="AH513" s="23" t="s">
        <v>6357</v>
      </c>
      <c r="AI513" s="70" t="s">
        <v>94</v>
      </c>
      <c r="AJ513" s="17" t="s">
        <v>94</v>
      </c>
      <c r="AK513" s="17" t="s">
        <v>95</v>
      </c>
      <c r="AL513" s="17" t="s">
        <v>6358</v>
      </c>
      <c r="AM513" s="17" t="s">
        <v>94</v>
      </c>
      <c r="AN513" s="17" t="s">
        <v>94</v>
      </c>
      <c r="AO513" s="17" t="s">
        <v>94</v>
      </c>
      <c r="AP513" s="17" t="s">
        <v>94</v>
      </c>
      <c r="AQ513" s="17" t="s">
        <v>94</v>
      </c>
      <c r="AR513" s="17" t="s">
        <v>94</v>
      </c>
      <c r="AS513" s="17" t="s">
        <v>6359</v>
      </c>
      <c r="AT513" s="17"/>
      <c r="AU513" s="30" t="s">
        <v>6360</v>
      </c>
      <c r="AV513" s="14">
        <v>11157</v>
      </c>
      <c r="AW513" s="74"/>
      <c r="AX513" s="1" t="s">
        <v>6361</v>
      </c>
      <c r="AY513" s="17" t="s">
        <v>101</v>
      </c>
    </row>
    <row r="514" spans="1:51" ht="15" customHeight="1" x14ac:dyDescent="0.25">
      <c r="A514" s="5">
        <v>503</v>
      </c>
      <c r="B514" s="9">
        <v>503</v>
      </c>
      <c r="C514" s="9" t="s">
        <v>6362</v>
      </c>
      <c r="D514" s="57" t="str">
        <f>HYPERLINK("http://prodenv.dep.state.fl.us/DepNexus/public/electronic-documents/OG_503/facility!search","OG_503_Docs")</f>
        <v>OG_503_Docs</v>
      </c>
      <c r="E514" s="57" t="str">
        <f>HYPERLINK("https://ca.dep.state.fl.us/mapdirect/?focus=oilandgas&amp;zoom=query&amp;querytype=oilandgas&amp;queryvalues=OG_503","OG_503_Map")</f>
        <v>OG_503_Map</v>
      </c>
      <c r="F514" s="1" t="s">
        <v>1797</v>
      </c>
      <c r="G514" s="1" t="s">
        <v>5133</v>
      </c>
      <c r="H514" s="1" t="s">
        <v>1363</v>
      </c>
      <c r="I514" s="1" t="s">
        <v>6363</v>
      </c>
      <c r="J514" s="17" t="s">
        <v>3646</v>
      </c>
      <c r="K514" s="17" t="s">
        <v>412</v>
      </c>
      <c r="L514" s="17"/>
      <c r="M514" s="17"/>
      <c r="N514" s="52" t="s">
        <v>6046</v>
      </c>
      <c r="O514" s="17" t="s">
        <v>86</v>
      </c>
      <c r="P514" s="17" t="s">
        <v>86</v>
      </c>
      <c r="Q514" s="81" t="s">
        <v>6364</v>
      </c>
      <c r="R514" s="11">
        <v>30.963912000000001</v>
      </c>
      <c r="S514" s="11">
        <v>-87.183023000000006</v>
      </c>
      <c r="T514" s="11" t="s">
        <v>6365</v>
      </c>
      <c r="U514" s="11" t="s">
        <v>6366</v>
      </c>
      <c r="V514" s="17" t="s">
        <v>5582</v>
      </c>
      <c r="W514" s="17" t="s">
        <v>110</v>
      </c>
      <c r="X514" s="70">
        <v>172.4</v>
      </c>
      <c r="Y514" s="70">
        <v>151.6</v>
      </c>
      <c r="Z514" s="13">
        <v>26134</v>
      </c>
      <c r="AA514" s="13">
        <v>26157</v>
      </c>
      <c r="AB514" s="13">
        <v>26352</v>
      </c>
      <c r="AC514" s="13"/>
      <c r="AD514" s="86">
        <v>15784</v>
      </c>
      <c r="AE514" s="86">
        <v>15784</v>
      </c>
      <c r="AF514" s="70" t="s">
        <v>1746</v>
      </c>
      <c r="AG514" s="17" t="s">
        <v>6367</v>
      </c>
      <c r="AH514" s="17" t="s">
        <v>94</v>
      </c>
      <c r="AI514" s="70" t="s">
        <v>6368</v>
      </c>
      <c r="AJ514" s="17" t="s">
        <v>6369</v>
      </c>
      <c r="AK514" s="17" t="s">
        <v>95</v>
      </c>
      <c r="AL514" s="17" t="s">
        <v>6370</v>
      </c>
      <c r="AM514" s="17" t="s">
        <v>94</v>
      </c>
      <c r="AN514" s="17" t="s">
        <v>94</v>
      </c>
      <c r="AO514" s="17" t="s">
        <v>6371</v>
      </c>
      <c r="AP514" s="17" t="s">
        <v>6372</v>
      </c>
      <c r="AQ514" s="17" t="s">
        <v>3999</v>
      </c>
      <c r="AR514" s="17" t="s">
        <v>6373</v>
      </c>
      <c r="AS514" s="17"/>
      <c r="AT514" s="17"/>
      <c r="AU514" s="30" t="s">
        <v>6374</v>
      </c>
      <c r="AV514" s="14">
        <v>11167</v>
      </c>
      <c r="AW514" s="74">
        <v>309875</v>
      </c>
      <c r="AX514" s="1"/>
      <c r="AY514" s="17" t="s">
        <v>101</v>
      </c>
    </row>
    <row r="515" spans="1:51" ht="15" customHeight="1" x14ac:dyDescent="0.25">
      <c r="A515" s="5">
        <v>504</v>
      </c>
      <c r="B515" s="9">
        <v>504</v>
      </c>
      <c r="C515" s="9" t="s">
        <v>6375</v>
      </c>
      <c r="D515" s="57" t="str">
        <f>HYPERLINK("http://prodenv.dep.state.fl.us/DepNexus/public/electronic-documents/OG_504/facility!search","OG_504_Docs")</f>
        <v>OG_504_Docs</v>
      </c>
      <c r="E515" s="57" t="str">
        <f>HYPERLINK("https://ca.dep.state.fl.us/mapdirect/?focus=oilandgas&amp;zoom=query&amp;querytype=oilandgas&amp;queryvalues=OG_504","OG_504_Map")</f>
        <v>OG_504_Map</v>
      </c>
      <c r="F515" s="1" t="s">
        <v>1797</v>
      </c>
      <c r="G515" s="1" t="s">
        <v>1798</v>
      </c>
      <c r="H515" s="1" t="s">
        <v>5605</v>
      </c>
      <c r="I515" s="1" t="s">
        <v>6376</v>
      </c>
      <c r="J515" s="17" t="s">
        <v>268</v>
      </c>
      <c r="K515" s="17" t="s">
        <v>412</v>
      </c>
      <c r="L515" s="17"/>
      <c r="M515" s="17" t="s">
        <v>101</v>
      </c>
      <c r="N515" s="52" t="s">
        <v>6377</v>
      </c>
      <c r="O515" s="17" t="s">
        <v>86</v>
      </c>
      <c r="P515" s="17" t="s">
        <v>86</v>
      </c>
      <c r="Q515" s="81" t="s">
        <v>6378</v>
      </c>
      <c r="R515" s="11">
        <v>30.969142999999999</v>
      </c>
      <c r="S515" s="11">
        <v>-87.116613999999998</v>
      </c>
      <c r="T515" s="11" t="s">
        <v>6379</v>
      </c>
      <c r="U515" s="11" t="s">
        <v>6380</v>
      </c>
      <c r="V515" s="17" t="s">
        <v>6381</v>
      </c>
      <c r="W515" s="17" t="s">
        <v>110</v>
      </c>
      <c r="X515" s="70">
        <v>273</v>
      </c>
      <c r="Y515" s="70">
        <v>254</v>
      </c>
      <c r="Z515" s="13">
        <v>26134</v>
      </c>
      <c r="AA515" s="13">
        <v>26136</v>
      </c>
      <c r="AB515" s="13">
        <v>26264</v>
      </c>
      <c r="AC515" s="13">
        <v>29299</v>
      </c>
      <c r="AD515" s="86">
        <v>15399</v>
      </c>
      <c r="AE515" s="86">
        <v>15399</v>
      </c>
      <c r="AF515" s="70" t="s">
        <v>3172</v>
      </c>
      <c r="AG515" s="23" t="s">
        <v>6382</v>
      </c>
      <c r="AH515" s="17" t="s">
        <v>94</v>
      </c>
      <c r="AI515" s="70" t="s">
        <v>6383</v>
      </c>
      <c r="AJ515" s="17" t="s">
        <v>6384</v>
      </c>
      <c r="AK515" s="17" t="s">
        <v>95</v>
      </c>
      <c r="AL515" s="17" t="s">
        <v>6385</v>
      </c>
      <c r="AM515" s="17" t="s">
        <v>95</v>
      </c>
      <c r="AN515" s="17" t="s">
        <v>94</v>
      </c>
      <c r="AO515" s="17" t="s">
        <v>6386</v>
      </c>
      <c r="AP515" s="17" t="s">
        <v>6387</v>
      </c>
      <c r="AQ515" s="17" t="s">
        <v>5078</v>
      </c>
      <c r="AR515" s="17" t="s">
        <v>6388</v>
      </c>
      <c r="AS515" s="17" t="s">
        <v>6389</v>
      </c>
      <c r="AT515" s="17">
        <v>288</v>
      </c>
      <c r="AU515" s="30" t="s">
        <v>6390</v>
      </c>
      <c r="AV515" s="14">
        <v>11274</v>
      </c>
      <c r="AW515" s="74"/>
      <c r="AX515" s="39" t="s">
        <v>6391</v>
      </c>
      <c r="AY515" s="17" t="s">
        <v>101</v>
      </c>
    </row>
    <row r="516" spans="1:51" ht="15" customHeight="1" x14ac:dyDescent="0.25">
      <c r="A516" s="5">
        <v>505</v>
      </c>
      <c r="B516" s="9">
        <v>505</v>
      </c>
      <c r="C516" s="9" t="s">
        <v>6392</v>
      </c>
      <c r="D516" s="57" t="str">
        <f>HYPERLINK("http://prodenv.dep.state.fl.us/DepNexus/public/electronic-documents/OG_505/facility!search","OG_505_Docs")</f>
        <v>OG_505_Docs</v>
      </c>
      <c r="E516" s="57" t="str">
        <f>HYPERLINK("https://ca.dep.state.fl.us/mapdirect/?focus=oilandgas&amp;zoom=query&amp;querytype=oilandgas&amp;queryvalues=OG_505","OG_505_Map")</f>
        <v>OG_505_Map</v>
      </c>
      <c r="F516" s="1" t="s">
        <v>1752</v>
      </c>
      <c r="G516" s="1" t="s">
        <v>79</v>
      </c>
      <c r="H516" s="1" t="s">
        <v>6393</v>
      </c>
      <c r="I516" s="1" t="s">
        <v>6394</v>
      </c>
      <c r="J516" s="17" t="s">
        <v>82</v>
      </c>
      <c r="K516" s="17" t="s">
        <v>83</v>
      </c>
      <c r="L516" s="17"/>
      <c r="M516" s="17"/>
      <c r="N516" s="52" t="s">
        <v>3956</v>
      </c>
      <c r="O516" s="17" t="s">
        <v>86</v>
      </c>
      <c r="P516" s="17" t="s">
        <v>86</v>
      </c>
      <c r="Q516" s="81" t="s">
        <v>6395</v>
      </c>
      <c r="R516" s="11">
        <v>26.662268000000001</v>
      </c>
      <c r="S516" s="11">
        <v>-81.505049999999997</v>
      </c>
      <c r="T516" s="11" t="s">
        <v>6396</v>
      </c>
      <c r="U516" s="11" t="s">
        <v>6397</v>
      </c>
      <c r="V516" s="17" t="s">
        <v>6398</v>
      </c>
      <c r="W516" s="17" t="s">
        <v>110</v>
      </c>
      <c r="X516" s="70">
        <v>42.5</v>
      </c>
      <c r="Y516" s="70">
        <v>26.5</v>
      </c>
      <c r="Z516" s="13">
        <v>26134</v>
      </c>
      <c r="AA516" s="13">
        <v>26142</v>
      </c>
      <c r="AB516" s="13">
        <v>26356</v>
      </c>
      <c r="AC516" s="13">
        <v>26356</v>
      </c>
      <c r="AD516" s="86">
        <v>11425</v>
      </c>
      <c r="AE516" s="86">
        <v>11425</v>
      </c>
      <c r="AF516" s="71" t="s">
        <v>6399</v>
      </c>
      <c r="AG516" s="17" t="s">
        <v>6400</v>
      </c>
      <c r="AH516" s="23" t="s">
        <v>6401</v>
      </c>
      <c r="AI516" s="70" t="s">
        <v>6402</v>
      </c>
      <c r="AJ516" s="17" t="s">
        <v>6403</v>
      </c>
      <c r="AK516" s="17" t="s">
        <v>95</v>
      </c>
      <c r="AL516" s="17" t="s">
        <v>6404</v>
      </c>
      <c r="AM516" s="17" t="s">
        <v>95</v>
      </c>
      <c r="AN516" s="17" t="s">
        <v>6405</v>
      </c>
      <c r="AO516" s="17" t="s">
        <v>6406</v>
      </c>
      <c r="AP516" s="17" t="s">
        <v>4176</v>
      </c>
      <c r="AQ516" s="17" t="s">
        <v>6407</v>
      </c>
      <c r="AR516" s="17" t="s">
        <v>94</v>
      </c>
      <c r="AS516" s="17" t="s">
        <v>6408</v>
      </c>
      <c r="AT516" s="17"/>
      <c r="AU516" s="30" t="s">
        <v>6409</v>
      </c>
      <c r="AV516" s="14">
        <v>11086</v>
      </c>
      <c r="AW516" s="74"/>
      <c r="AX516" s="1"/>
      <c r="AY516" s="17" t="s">
        <v>101</v>
      </c>
    </row>
    <row r="517" spans="1:51" ht="12.75" customHeight="1" x14ac:dyDescent="0.25">
      <c r="A517" s="5">
        <v>506</v>
      </c>
      <c r="B517" s="9">
        <v>506</v>
      </c>
      <c r="C517" s="9" t="s">
        <v>6410</v>
      </c>
      <c r="D517" s="57" t="str">
        <f>HYPERLINK("http://prodenv.dep.state.fl.us/DepNexus/public/electronic-documents/OG_506/facility!search","OG_506_Docs")</f>
        <v>OG_506_Docs</v>
      </c>
      <c r="E517" s="57" t="str">
        <f>HYPERLINK("https://ca.dep.state.fl.us/mapdirect/?focus=oilandgas&amp;zoom=query&amp;querytype=oilandgas&amp;queryvalues=OG_506","OG_506_Map")</f>
        <v>OG_506_Map</v>
      </c>
      <c r="F517" s="1" t="s">
        <v>5412</v>
      </c>
      <c r="G517" s="1" t="s">
        <v>79</v>
      </c>
      <c r="H517" s="1" t="s">
        <v>6411</v>
      </c>
      <c r="I517" s="1" t="s">
        <v>6412</v>
      </c>
      <c r="J517" s="17" t="s">
        <v>82</v>
      </c>
      <c r="K517" s="17" t="s">
        <v>83</v>
      </c>
      <c r="L517" s="17"/>
      <c r="M517" s="17" t="s">
        <v>101</v>
      </c>
      <c r="N517" s="52" t="s">
        <v>5415</v>
      </c>
      <c r="O517" s="17" t="s">
        <v>86</v>
      </c>
      <c r="P517" s="17" t="s">
        <v>86</v>
      </c>
      <c r="Q517" s="81" t="s">
        <v>6413</v>
      </c>
      <c r="R517" s="11">
        <v>29.844415000000001</v>
      </c>
      <c r="S517" s="11">
        <v>-81.458792000000003</v>
      </c>
      <c r="T517" s="11" t="s">
        <v>6414</v>
      </c>
      <c r="U517" s="11" t="s">
        <v>6415</v>
      </c>
      <c r="V517" s="17" t="s">
        <v>320</v>
      </c>
      <c r="W517" s="17" t="s">
        <v>110</v>
      </c>
      <c r="X517" s="70">
        <v>40.200000000000003</v>
      </c>
      <c r="Y517" s="70">
        <v>28</v>
      </c>
      <c r="Z517" s="13">
        <v>26148</v>
      </c>
      <c r="AA517" s="13">
        <v>26205</v>
      </c>
      <c r="AB517" s="13">
        <v>26230</v>
      </c>
      <c r="AC517" s="13">
        <v>26230</v>
      </c>
      <c r="AD517" s="86">
        <v>4584</v>
      </c>
      <c r="AE517" s="86">
        <v>4584</v>
      </c>
      <c r="AF517" s="70" t="s">
        <v>6416</v>
      </c>
      <c r="AG517" s="17" t="s">
        <v>6417</v>
      </c>
      <c r="AH517" s="17" t="s">
        <v>6418</v>
      </c>
      <c r="AI517" s="70" t="s">
        <v>94</v>
      </c>
      <c r="AJ517" s="17" t="s">
        <v>94</v>
      </c>
      <c r="AK517" s="17" t="s">
        <v>95</v>
      </c>
      <c r="AL517" s="17" t="s">
        <v>94</v>
      </c>
      <c r="AM517" s="17" t="s">
        <v>94</v>
      </c>
      <c r="AN517" s="17" t="s">
        <v>94</v>
      </c>
      <c r="AO517" s="17" t="s">
        <v>98</v>
      </c>
      <c r="AP517" s="17" t="s">
        <v>98</v>
      </c>
      <c r="AQ517" s="17" t="s">
        <v>98</v>
      </c>
      <c r="AR517" s="17" t="s">
        <v>94</v>
      </c>
      <c r="AS517" s="17" t="s">
        <v>6419</v>
      </c>
      <c r="AT517" s="17">
        <v>120</v>
      </c>
      <c r="AU517" s="30" t="s">
        <v>6420</v>
      </c>
      <c r="AV517" s="14">
        <v>11084</v>
      </c>
      <c r="AW517" s="74"/>
      <c r="AX517" s="1"/>
      <c r="AY517" s="17" t="s">
        <v>101</v>
      </c>
    </row>
    <row r="518" spans="1:51" ht="12.75" customHeight="1" x14ac:dyDescent="0.25">
      <c r="A518" s="5">
        <v>507</v>
      </c>
      <c r="B518" s="9">
        <v>507</v>
      </c>
      <c r="C518" s="9" t="s">
        <v>6421</v>
      </c>
      <c r="D518" s="57" t="str">
        <f>HYPERLINK("http://prodenv.dep.state.fl.us/DepNexus/public/electronic-documents/OG_507/facility!search","OG_507_Docs")</f>
        <v>OG_507_Docs</v>
      </c>
      <c r="E518" s="57" t="str">
        <f>HYPERLINK("https://ca.dep.state.fl.us/mapdirect/?focus=oilandgas&amp;zoom=query&amp;querytype=oilandgas&amp;queryvalues=OG_507","OG_507_Map")</f>
        <v>OG_507_Map</v>
      </c>
      <c r="F518" s="1" t="s">
        <v>1682</v>
      </c>
      <c r="G518" s="1" t="s">
        <v>79</v>
      </c>
      <c r="H518" s="1" t="s">
        <v>6095</v>
      </c>
      <c r="I518" s="1" t="s">
        <v>6422</v>
      </c>
      <c r="J518" s="17" t="s">
        <v>82</v>
      </c>
      <c r="K518" s="17" t="s">
        <v>83</v>
      </c>
      <c r="L518" s="17"/>
      <c r="M518" s="17"/>
      <c r="N518" s="52" t="s">
        <v>6423</v>
      </c>
      <c r="O518" s="17" t="s">
        <v>86</v>
      </c>
      <c r="P518" s="17" t="s">
        <v>86</v>
      </c>
      <c r="Q518" s="81" t="s">
        <v>6424</v>
      </c>
      <c r="R518" s="11">
        <v>30.934823000000002</v>
      </c>
      <c r="S518" s="11">
        <v>-87.534324999999995</v>
      </c>
      <c r="T518" s="11" t="s">
        <v>6425</v>
      </c>
      <c r="U518" s="11" t="s">
        <v>6426</v>
      </c>
      <c r="V518" s="17" t="s">
        <v>6427</v>
      </c>
      <c r="W518" s="17" t="s">
        <v>110</v>
      </c>
      <c r="X518" s="70">
        <v>240</v>
      </c>
      <c r="Y518" s="70">
        <v>217</v>
      </c>
      <c r="Z518" s="13">
        <v>26148</v>
      </c>
      <c r="AA518" s="13">
        <v>26203</v>
      </c>
      <c r="AB518" s="13">
        <v>26327</v>
      </c>
      <c r="AC518" s="13">
        <v>26327</v>
      </c>
      <c r="AD518" s="86">
        <v>17050</v>
      </c>
      <c r="AE518" s="86">
        <v>17050</v>
      </c>
      <c r="AF518" s="70" t="s">
        <v>6428</v>
      </c>
      <c r="AG518" s="17" t="s">
        <v>6429</v>
      </c>
      <c r="AH518" s="17" t="s">
        <v>6430</v>
      </c>
      <c r="AI518" s="70" t="s">
        <v>94</v>
      </c>
      <c r="AJ518" s="17" t="s">
        <v>94</v>
      </c>
      <c r="AK518" s="17" t="s">
        <v>95</v>
      </c>
      <c r="AL518" s="17" t="s">
        <v>94</v>
      </c>
      <c r="AM518" s="17" t="s">
        <v>94</v>
      </c>
      <c r="AN518" s="17" t="s">
        <v>94</v>
      </c>
      <c r="AO518" s="17" t="s">
        <v>98</v>
      </c>
      <c r="AP518" s="17" t="s">
        <v>98</v>
      </c>
      <c r="AQ518" s="17" t="s">
        <v>98</v>
      </c>
      <c r="AR518" s="17" t="s">
        <v>94</v>
      </c>
      <c r="AS518" s="17" t="s">
        <v>6431</v>
      </c>
      <c r="AT518" s="17"/>
      <c r="AU518" s="30" t="s">
        <v>6432</v>
      </c>
      <c r="AV518" s="14">
        <v>11166</v>
      </c>
      <c r="AW518" s="74"/>
      <c r="AX518" s="1"/>
      <c r="AY518" s="17" t="s">
        <v>101</v>
      </c>
    </row>
    <row r="519" spans="1:51" ht="12.75" customHeight="1" x14ac:dyDescent="0.25">
      <c r="A519" s="5">
        <v>508</v>
      </c>
      <c r="B519" s="9">
        <v>508</v>
      </c>
      <c r="C519" s="9" t="s">
        <v>6433</v>
      </c>
      <c r="D519" s="57" t="str">
        <f>HYPERLINK("http://prodenv.dep.state.fl.us/DepNexus/public/electronic-documents/OG_508/facility!search","OG_508_Docs")</f>
        <v>OG_508_Docs</v>
      </c>
      <c r="E519" s="57" t="str">
        <f>HYPERLINK("https://ca.dep.state.fl.us/mapdirect/?focus=oilandgas&amp;zoom=query&amp;querytype=oilandgas&amp;queryvalues=OG_508","OG_508_Map")</f>
        <v>OG_508_Map</v>
      </c>
      <c r="F519" s="1" t="s">
        <v>1797</v>
      </c>
      <c r="G519" s="1" t="s">
        <v>5133</v>
      </c>
      <c r="H519" s="1" t="s">
        <v>1363</v>
      </c>
      <c r="I519" s="1" t="s">
        <v>6434</v>
      </c>
      <c r="J519" s="17" t="s">
        <v>1476</v>
      </c>
      <c r="K519" s="17" t="s">
        <v>412</v>
      </c>
      <c r="L519" s="17"/>
      <c r="M519" s="17"/>
      <c r="N519" s="52" t="s">
        <v>6435</v>
      </c>
      <c r="O519" s="17" t="s">
        <v>86</v>
      </c>
      <c r="P519" s="17" t="s">
        <v>86</v>
      </c>
      <c r="Q519" s="81" t="s">
        <v>6436</v>
      </c>
      <c r="R519" s="11">
        <v>30.972708000000001</v>
      </c>
      <c r="S519" s="11">
        <v>-87.168732000000006</v>
      </c>
      <c r="T519" s="11" t="s">
        <v>6437</v>
      </c>
      <c r="U519" s="11" t="s">
        <v>6438</v>
      </c>
      <c r="V519" s="17" t="s">
        <v>6439</v>
      </c>
      <c r="W519" s="17" t="s">
        <v>110</v>
      </c>
      <c r="X519" s="70">
        <v>173.4</v>
      </c>
      <c r="Y519" s="70">
        <v>156.9</v>
      </c>
      <c r="Z519" s="13">
        <v>26148</v>
      </c>
      <c r="AA519" s="13">
        <v>26161</v>
      </c>
      <c r="AB519" s="13">
        <v>26349</v>
      </c>
      <c r="AC519" s="13">
        <v>45899</v>
      </c>
      <c r="AD519" s="86">
        <v>15687</v>
      </c>
      <c r="AE519" s="86">
        <v>15687</v>
      </c>
      <c r="AF519" s="70" t="s">
        <v>6440</v>
      </c>
      <c r="AG519" s="17" t="s">
        <v>6441</v>
      </c>
      <c r="AH519" s="17" t="s">
        <v>94</v>
      </c>
      <c r="AI519" s="70" t="s">
        <v>6442</v>
      </c>
      <c r="AJ519" s="17" t="s">
        <v>6443</v>
      </c>
      <c r="AK519" s="17" t="s">
        <v>95</v>
      </c>
      <c r="AL519" s="17" t="s">
        <v>6444</v>
      </c>
      <c r="AM519" s="17" t="s">
        <v>94</v>
      </c>
      <c r="AN519" s="17" t="s">
        <v>86</v>
      </c>
      <c r="AO519" s="17" t="s">
        <v>6445</v>
      </c>
      <c r="AP519" s="17" t="s">
        <v>6446</v>
      </c>
      <c r="AQ519" s="17" t="s">
        <v>6447</v>
      </c>
      <c r="AR519" s="17" t="s">
        <v>6448</v>
      </c>
      <c r="AS519" s="17" t="s">
        <v>6449</v>
      </c>
      <c r="AT519" s="17"/>
      <c r="AU519" s="30" t="s">
        <v>6450</v>
      </c>
      <c r="AV519" s="14">
        <v>11082</v>
      </c>
      <c r="AW519" s="74">
        <v>309876</v>
      </c>
      <c r="AX519" s="1"/>
      <c r="AY519" s="17" t="s">
        <v>101</v>
      </c>
    </row>
    <row r="520" spans="1:51" ht="15" customHeight="1" x14ac:dyDescent="0.25">
      <c r="A520" s="5">
        <v>509</v>
      </c>
      <c r="B520" s="9">
        <v>509</v>
      </c>
      <c r="C520" s="9" t="s">
        <v>6451</v>
      </c>
      <c r="D520" s="57" t="str">
        <f>HYPERLINK("http://prodenv.dep.state.fl.us/DepNexus/public/electronic-documents/OG_509/facility!search","OG_509_Docs")</f>
        <v>OG_509_Docs</v>
      </c>
      <c r="E520" s="57" t="str">
        <f>HYPERLINK("https://ca.dep.state.fl.us/mapdirect/?focus=oilandgas&amp;zoom=query&amp;querytype=oilandgas&amp;queryvalues=OG_509","OG_509_Map")</f>
        <v>OG_509_Map</v>
      </c>
      <c r="F520" s="1" t="s">
        <v>1797</v>
      </c>
      <c r="G520" s="1" t="s">
        <v>5133</v>
      </c>
      <c r="H520" s="1" t="s">
        <v>1363</v>
      </c>
      <c r="I520" s="1" t="s">
        <v>6452</v>
      </c>
      <c r="J520" s="17" t="s">
        <v>3646</v>
      </c>
      <c r="K520" s="17" t="s">
        <v>412</v>
      </c>
      <c r="L520" s="17"/>
      <c r="M520" s="17"/>
      <c r="N520" s="52" t="s">
        <v>6453</v>
      </c>
      <c r="O520" s="17" t="s">
        <v>86</v>
      </c>
      <c r="P520" s="17" t="s">
        <v>86</v>
      </c>
      <c r="Q520" s="81" t="s">
        <v>6454</v>
      </c>
      <c r="R520" s="11">
        <v>30.976745999999999</v>
      </c>
      <c r="S520" s="11">
        <v>-87.161088000000007</v>
      </c>
      <c r="T520" s="11" t="s">
        <v>6455</v>
      </c>
      <c r="U520" s="11" t="s">
        <v>6456</v>
      </c>
      <c r="V520" s="17" t="s">
        <v>6457</v>
      </c>
      <c r="W520" s="17" t="s">
        <v>110</v>
      </c>
      <c r="X520" s="70">
        <v>203.1</v>
      </c>
      <c r="Y520" s="70">
        <v>177.6</v>
      </c>
      <c r="Z520" s="13">
        <v>26148</v>
      </c>
      <c r="AA520" s="13">
        <v>26220</v>
      </c>
      <c r="AB520" s="13">
        <v>26398</v>
      </c>
      <c r="AC520" s="13"/>
      <c r="AD520" s="86">
        <v>15746</v>
      </c>
      <c r="AE520" s="86">
        <v>15746</v>
      </c>
      <c r="AF520" s="70" t="s">
        <v>6458</v>
      </c>
      <c r="AG520" s="17" t="s">
        <v>6459</v>
      </c>
      <c r="AH520" s="17" t="s">
        <v>94</v>
      </c>
      <c r="AI520" s="70" t="s">
        <v>6460</v>
      </c>
      <c r="AJ520" s="17" t="s">
        <v>6461</v>
      </c>
      <c r="AK520" s="17" t="s">
        <v>95</v>
      </c>
      <c r="AL520" s="17" t="s">
        <v>6462</v>
      </c>
      <c r="AM520" s="17" t="s">
        <v>95</v>
      </c>
      <c r="AN520" s="17" t="s">
        <v>86</v>
      </c>
      <c r="AO520" s="17" t="s">
        <v>6463</v>
      </c>
      <c r="AP520" s="17" t="s">
        <v>6464</v>
      </c>
      <c r="AQ520" s="17" t="s">
        <v>6465</v>
      </c>
      <c r="AR520" s="17" t="s">
        <v>6466</v>
      </c>
      <c r="AS520" s="17"/>
      <c r="AT520" s="17"/>
      <c r="AU520" s="30" t="s">
        <v>6467</v>
      </c>
      <c r="AV520" s="14">
        <v>11233</v>
      </c>
      <c r="AW520" s="74">
        <v>309877</v>
      </c>
      <c r="AX520" s="1"/>
      <c r="AY520" s="17" t="s">
        <v>101</v>
      </c>
    </row>
    <row r="521" spans="1:51" ht="15" customHeight="1" x14ac:dyDescent="0.25">
      <c r="A521" s="5">
        <v>510</v>
      </c>
      <c r="B521" s="9">
        <v>510</v>
      </c>
      <c r="C521" s="9" t="s">
        <v>6468</v>
      </c>
      <c r="D521" s="57" t="str">
        <f>HYPERLINK("http://prodenv.dep.state.fl.us/DepNexus/public/electronic-documents/OG_510/facility!search","OG_510_Docs")</f>
        <v>OG_510_Docs</v>
      </c>
      <c r="E521" s="57" t="str">
        <f>HYPERLINK("https://ca.dep.state.fl.us/mapdirect/?focus=oilandgas&amp;zoom=query&amp;querytype=oilandgas&amp;queryvalues=OG_510","OG_510_Map")</f>
        <v>OG_510_Map</v>
      </c>
      <c r="F521" s="1" t="s">
        <v>1797</v>
      </c>
      <c r="G521" s="1" t="s">
        <v>5133</v>
      </c>
      <c r="H521" s="1" t="s">
        <v>1363</v>
      </c>
      <c r="I521" s="1" t="s">
        <v>6469</v>
      </c>
      <c r="J521" s="17" t="s">
        <v>5135</v>
      </c>
      <c r="K521" s="17" t="s">
        <v>412</v>
      </c>
      <c r="L521" s="17"/>
      <c r="M521" s="17"/>
      <c r="N521" s="52" t="s">
        <v>6470</v>
      </c>
      <c r="O521" s="17" t="s">
        <v>86</v>
      </c>
      <c r="P521" s="17" t="s">
        <v>86</v>
      </c>
      <c r="Q521" s="81" t="s">
        <v>6471</v>
      </c>
      <c r="R521" s="11">
        <v>30.937715000000001</v>
      </c>
      <c r="S521" s="11">
        <v>-87.175003000000004</v>
      </c>
      <c r="T521" s="11" t="s">
        <v>6472</v>
      </c>
      <c r="U521" s="11" t="s">
        <v>6473</v>
      </c>
      <c r="V521" s="17" t="s">
        <v>6474</v>
      </c>
      <c r="W521" s="17" t="s">
        <v>110</v>
      </c>
      <c r="X521" s="70">
        <v>278</v>
      </c>
      <c r="Y521" s="70">
        <v>260.5</v>
      </c>
      <c r="Z521" s="13">
        <v>26148</v>
      </c>
      <c r="AA521" s="13">
        <v>26517</v>
      </c>
      <c r="AB521" s="13">
        <v>26579</v>
      </c>
      <c r="AC521" s="13"/>
      <c r="AD521" s="86">
        <v>16084</v>
      </c>
      <c r="AE521" s="86">
        <v>16084</v>
      </c>
      <c r="AF521" s="70" t="s">
        <v>3172</v>
      </c>
      <c r="AG521" s="17" t="s">
        <v>6475</v>
      </c>
      <c r="AH521" s="17" t="s">
        <v>94</v>
      </c>
      <c r="AI521" s="71" t="s">
        <v>6476</v>
      </c>
      <c r="AJ521" s="17" t="s">
        <v>6477</v>
      </c>
      <c r="AK521" s="17" t="s">
        <v>94</v>
      </c>
      <c r="AL521" s="17" t="s">
        <v>6478</v>
      </c>
      <c r="AM521" s="17" t="s">
        <v>95</v>
      </c>
      <c r="AN521" s="17" t="s">
        <v>86</v>
      </c>
      <c r="AO521" s="17" t="s">
        <v>6479</v>
      </c>
      <c r="AP521" s="17" t="s">
        <v>6480</v>
      </c>
      <c r="AQ521" s="23" t="s">
        <v>3512</v>
      </c>
      <c r="AR521" s="17" t="s">
        <v>6481</v>
      </c>
      <c r="AS521" s="17"/>
      <c r="AT521" s="17"/>
      <c r="AU521" s="30" t="s">
        <v>6482</v>
      </c>
      <c r="AV521" s="14">
        <v>11534</v>
      </c>
      <c r="AW521" s="74">
        <v>302989</v>
      </c>
      <c r="AX521" s="1" t="s">
        <v>6483</v>
      </c>
      <c r="AY521" s="17" t="s">
        <v>101</v>
      </c>
    </row>
    <row r="522" spans="1:51" ht="15" customHeight="1" x14ac:dyDescent="0.25">
      <c r="A522" s="5">
        <v>511</v>
      </c>
      <c r="B522" s="9">
        <v>511</v>
      </c>
      <c r="C522" s="9" t="s">
        <v>6484</v>
      </c>
      <c r="D522" s="57" t="str">
        <f>HYPERLINK("http://prodenv.dep.state.fl.us/DepNexus/public/electronic-documents/OG_511/facility!search","OG_511_Docs")</f>
        <v>OG_511_Docs</v>
      </c>
      <c r="E522" s="57" t="str">
        <f>HYPERLINK("https://ca.dep.state.fl.us/mapdirect/?focus=oilandgas&amp;zoom=query&amp;querytype=oilandgas&amp;queryvalues=OG_511","OG_511_Map")</f>
        <v>OG_511_Map</v>
      </c>
      <c r="F522" s="1" t="s">
        <v>1797</v>
      </c>
      <c r="G522" s="1" t="s">
        <v>5133</v>
      </c>
      <c r="H522" s="1" t="s">
        <v>1363</v>
      </c>
      <c r="I522" s="1" t="s">
        <v>6485</v>
      </c>
      <c r="J522" s="17" t="s">
        <v>5135</v>
      </c>
      <c r="K522" s="17" t="s">
        <v>4266</v>
      </c>
      <c r="L522" s="17"/>
      <c r="M522" s="17"/>
      <c r="N522" s="52" t="s">
        <v>6486</v>
      </c>
      <c r="O522" s="17" t="s">
        <v>86</v>
      </c>
      <c r="P522" s="17" t="s">
        <v>86</v>
      </c>
      <c r="Q522" s="81" t="s">
        <v>6364</v>
      </c>
      <c r="R522" s="11">
        <v>30.968686999999999</v>
      </c>
      <c r="S522" s="11">
        <v>-87.182263000000006</v>
      </c>
      <c r="T522" s="11" t="s">
        <v>6487</v>
      </c>
      <c r="U522" s="11" t="s">
        <v>6488</v>
      </c>
      <c r="V522" s="17" t="s">
        <v>6489</v>
      </c>
      <c r="W522" s="17" t="s">
        <v>110</v>
      </c>
      <c r="X522" s="70">
        <v>167.7</v>
      </c>
      <c r="Y522" s="70">
        <v>132</v>
      </c>
      <c r="Z522" s="13">
        <v>26148</v>
      </c>
      <c r="AA522" s="13">
        <v>26298</v>
      </c>
      <c r="AB522" s="13">
        <v>26399</v>
      </c>
      <c r="AC522" s="13"/>
      <c r="AD522" s="86">
        <v>15872</v>
      </c>
      <c r="AE522" s="86">
        <v>15872</v>
      </c>
      <c r="AF522" s="70" t="s">
        <v>275</v>
      </c>
      <c r="AG522" s="17" t="s">
        <v>6490</v>
      </c>
      <c r="AH522" s="17" t="s">
        <v>94</v>
      </c>
      <c r="AI522" s="70" t="s">
        <v>6491</v>
      </c>
      <c r="AJ522" s="17" t="s">
        <v>6492</v>
      </c>
      <c r="AK522" s="17" t="s">
        <v>95</v>
      </c>
      <c r="AL522" s="17" t="s">
        <v>6493</v>
      </c>
      <c r="AM522" s="17" t="s">
        <v>94</v>
      </c>
      <c r="AN522" s="17" t="s">
        <v>86</v>
      </c>
      <c r="AO522" s="17" t="s">
        <v>6494</v>
      </c>
      <c r="AP522" s="17" t="s">
        <v>6495</v>
      </c>
      <c r="AQ522" s="23" t="s">
        <v>6496</v>
      </c>
      <c r="AR522" s="17" t="s">
        <v>6497</v>
      </c>
      <c r="AS522" s="17"/>
      <c r="AT522" s="17"/>
      <c r="AU522" s="30" t="s">
        <v>6498</v>
      </c>
      <c r="AV522" s="14">
        <v>11236</v>
      </c>
      <c r="AW522" s="74">
        <v>311584</v>
      </c>
      <c r="AX522" s="1" t="s">
        <v>6499</v>
      </c>
      <c r="AY522" s="17" t="s">
        <v>101</v>
      </c>
    </row>
    <row r="523" spans="1:51" ht="15" customHeight="1" x14ac:dyDescent="0.25">
      <c r="A523" s="5">
        <v>512</v>
      </c>
      <c r="B523" s="9">
        <v>512</v>
      </c>
      <c r="C523" s="9" t="s">
        <v>6500</v>
      </c>
      <c r="D523" s="57" t="str">
        <f>HYPERLINK("http://prodenv.dep.state.fl.us/DepNexus/public/electronic-documents/OG_512/facility!search","OG_512_Docs")</f>
        <v>OG_512_Docs</v>
      </c>
      <c r="E523" s="57" t="str">
        <f>HYPERLINK("https://ca.dep.state.fl.us/mapdirect/?focus=oilandgas&amp;zoom=query&amp;querytype=oilandgas&amp;queryvalues=OG_512","OG_512_Map")</f>
        <v>OG_512_Map</v>
      </c>
      <c r="F523" s="1" t="s">
        <v>1797</v>
      </c>
      <c r="G523" s="1" t="s">
        <v>5133</v>
      </c>
      <c r="H523" s="1" t="s">
        <v>1363</v>
      </c>
      <c r="I523" s="1" t="s">
        <v>6501</v>
      </c>
      <c r="J523" s="17" t="s">
        <v>3646</v>
      </c>
      <c r="K523" s="17" t="s">
        <v>412</v>
      </c>
      <c r="L523" s="17"/>
      <c r="M523" s="17"/>
      <c r="N523" s="52" t="s">
        <v>6046</v>
      </c>
      <c r="O523" s="17" t="s">
        <v>86</v>
      </c>
      <c r="P523" s="17" t="s">
        <v>86</v>
      </c>
      <c r="Q523" s="81" t="s">
        <v>6502</v>
      </c>
      <c r="R523" s="11">
        <v>30.961763000000001</v>
      </c>
      <c r="S523" s="11">
        <v>-87.144990000000007</v>
      </c>
      <c r="T523" s="11" t="s">
        <v>6503</v>
      </c>
      <c r="U523" s="11" t="s">
        <v>6504</v>
      </c>
      <c r="V523" s="17" t="s">
        <v>6505</v>
      </c>
      <c r="W523" s="17" t="s">
        <v>110</v>
      </c>
      <c r="X523" s="71">
        <v>265</v>
      </c>
      <c r="Y523" s="70">
        <v>247</v>
      </c>
      <c r="Z523" s="13">
        <v>26162</v>
      </c>
      <c r="AA523" s="13">
        <v>26186</v>
      </c>
      <c r="AB523" s="13">
        <v>26493</v>
      </c>
      <c r="AC523" s="13"/>
      <c r="AD523" s="86">
        <v>15900</v>
      </c>
      <c r="AE523" s="86">
        <v>15900</v>
      </c>
      <c r="AF523" s="70" t="s">
        <v>1930</v>
      </c>
      <c r="AG523" s="17" t="s">
        <v>6506</v>
      </c>
      <c r="AH523" s="17" t="s">
        <v>94</v>
      </c>
      <c r="AI523" s="70" t="s">
        <v>6507</v>
      </c>
      <c r="AJ523" s="17" t="s">
        <v>6508</v>
      </c>
      <c r="AK523" s="17" t="s">
        <v>95</v>
      </c>
      <c r="AL523" s="17" t="s">
        <v>6509</v>
      </c>
      <c r="AM523" s="17" t="s">
        <v>95</v>
      </c>
      <c r="AN523" s="17" t="s">
        <v>86</v>
      </c>
      <c r="AO523" s="17" t="s">
        <v>6510</v>
      </c>
      <c r="AP523" s="17" t="s">
        <v>6511</v>
      </c>
      <c r="AQ523" s="17" t="s">
        <v>94</v>
      </c>
      <c r="AR523" s="17" t="s">
        <v>6512</v>
      </c>
      <c r="AS523" s="17"/>
      <c r="AT523" s="17">
        <v>251</v>
      </c>
      <c r="AU523" s="30" t="s">
        <v>6513</v>
      </c>
      <c r="AV523" s="14">
        <v>11229</v>
      </c>
      <c r="AW523" s="74">
        <v>309879</v>
      </c>
      <c r="AX523" s="1"/>
      <c r="AY523" s="17" t="s">
        <v>101</v>
      </c>
    </row>
    <row r="524" spans="1:51" ht="15" customHeight="1" x14ac:dyDescent="0.25">
      <c r="A524" s="5">
        <v>513</v>
      </c>
      <c r="B524" s="9">
        <v>513</v>
      </c>
      <c r="C524" s="9" t="s">
        <v>6514</v>
      </c>
      <c r="D524" s="57" t="str">
        <f>HYPERLINK("http://prodenv.dep.state.fl.us/DepNexus/public/electronic-documents/OG_513/facility!search","OG_513_Docs")</f>
        <v>OG_513_Docs</v>
      </c>
      <c r="E524" s="57" t="str">
        <f>HYPERLINK("https://ca.dep.state.fl.us/mapdirect/?focus=oilandgas&amp;zoom=query&amp;querytype=oilandgas&amp;queryvalues=OG_513","OG_513_Map")</f>
        <v>OG_513_Map</v>
      </c>
      <c r="F524" s="1" t="s">
        <v>1797</v>
      </c>
      <c r="G524" s="1" t="s">
        <v>5133</v>
      </c>
      <c r="H524" s="1" t="s">
        <v>6515</v>
      </c>
      <c r="I524" s="1" t="s">
        <v>6516</v>
      </c>
      <c r="J524" s="17" t="s">
        <v>268</v>
      </c>
      <c r="K524" s="17" t="s">
        <v>5975</v>
      </c>
      <c r="L524" s="17"/>
      <c r="M524" s="17"/>
      <c r="N524" s="52" t="s">
        <v>6046</v>
      </c>
      <c r="O524" s="17" t="s">
        <v>86</v>
      </c>
      <c r="P524" s="17" t="s">
        <v>86</v>
      </c>
      <c r="Q524" s="81" t="s">
        <v>6047</v>
      </c>
      <c r="R524" s="11">
        <v>30.956356</v>
      </c>
      <c r="S524" s="11">
        <v>-87.153245999999996</v>
      </c>
      <c r="T524" s="11" t="s">
        <v>6517</v>
      </c>
      <c r="U524" s="11" t="s">
        <v>6518</v>
      </c>
      <c r="V524" s="17" t="s">
        <v>6519</v>
      </c>
      <c r="W524" s="17" t="s">
        <v>110</v>
      </c>
      <c r="X524" s="70">
        <v>279</v>
      </c>
      <c r="Y524" s="70">
        <v>254</v>
      </c>
      <c r="Z524" s="13">
        <v>26162</v>
      </c>
      <c r="AA524" s="13">
        <v>26307</v>
      </c>
      <c r="AB524" s="13">
        <v>26381</v>
      </c>
      <c r="AC524" s="13">
        <v>32251</v>
      </c>
      <c r="AD524" s="86">
        <v>15986</v>
      </c>
      <c r="AE524" s="86">
        <v>15986</v>
      </c>
      <c r="AF524" s="70" t="s">
        <v>6520</v>
      </c>
      <c r="AG524" s="17" t="s">
        <v>6521</v>
      </c>
      <c r="AH524" s="23" t="s">
        <v>94</v>
      </c>
      <c r="AI524" s="71" t="s">
        <v>6522</v>
      </c>
      <c r="AJ524" s="17" t="s">
        <v>6523</v>
      </c>
      <c r="AK524" s="17" t="s">
        <v>94</v>
      </c>
      <c r="AL524" s="17" t="s">
        <v>94</v>
      </c>
      <c r="AM524" s="17" t="s">
        <v>94</v>
      </c>
      <c r="AN524" s="17" t="s">
        <v>86</v>
      </c>
      <c r="AO524" s="17" t="s">
        <v>94</v>
      </c>
      <c r="AP524" s="17" t="s">
        <v>94</v>
      </c>
      <c r="AQ524" s="17" t="s">
        <v>94</v>
      </c>
      <c r="AR524" s="17" t="s">
        <v>6524</v>
      </c>
      <c r="AS524" s="23" t="s">
        <v>6525</v>
      </c>
      <c r="AT524" s="17">
        <v>270</v>
      </c>
      <c r="AU524" s="30" t="s">
        <v>6526</v>
      </c>
      <c r="AV524" s="14" t="s">
        <v>94</v>
      </c>
      <c r="AW524" s="74"/>
      <c r="AX524" s="1"/>
      <c r="AY524" s="17" t="s">
        <v>101</v>
      </c>
    </row>
    <row r="525" spans="1:51" ht="15" customHeight="1" x14ac:dyDescent="0.25">
      <c r="A525" s="5">
        <v>514</v>
      </c>
      <c r="B525" s="9">
        <v>514</v>
      </c>
      <c r="C525" s="9" t="s">
        <v>6527</v>
      </c>
      <c r="D525" s="57" t="str">
        <f>HYPERLINK("http://prodenv.dep.state.fl.us/DepNexus/public/electronic-documents/OG_514/facility!search","OG_514_Docs")</f>
        <v>OG_514_Docs</v>
      </c>
      <c r="E525" s="57" t="str">
        <f>HYPERLINK("https://ca.dep.state.fl.us/mapdirect/?focus=oilandgas&amp;zoom=query&amp;querytype=oilandgas&amp;queryvalues=OG_514","OG_514_Map")</f>
        <v>OG_514_Map</v>
      </c>
      <c r="F525" s="1" t="s">
        <v>1797</v>
      </c>
      <c r="G525" s="1" t="s">
        <v>5133</v>
      </c>
      <c r="H525" s="1" t="s">
        <v>3669</v>
      </c>
      <c r="I525" s="1" t="s">
        <v>6528</v>
      </c>
      <c r="J525" s="17" t="s">
        <v>268</v>
      </c>
      <c r="K525" s="17" t="s">
        <v>2105</v>
      </c>
      <c r="L525" s="17"/>
      <c r="M525" s="17"/>
      <c r="N525" s="52" t="s">
        <v>6529</v>
      </c>
      <c r="O525" s="17" t="s">
        <v>86</v>
      </c>
      <c r="P525" s="17" t="s">
        <v>86</v>
      </c>
      <c r="Q525" s="81" t="s">
        <v>6530</v>
      </c>
      <c r="R525" s="11">
        <v>30.944690000000001</v>
      </c>
      <c r="S525" s="11">
        <v>-87.166633000000004</v>
      </c>
      <c r="T525" s="11" t="s">
        <v>6531</v>
      </c>
      <c r="U525" s="11" t="s">
        <v>6532</v>
      </c>
      <c r="V525" s="17" t="s">
        <v>6533</v>
      </c>
      <c r="W525" s="17" t="s">
        <v>110</v>
      </c>
      <c r="X525" s="70">
        <v>290</v>
      </c>
      <c r="Y525" s="70">
        <v>271</v>
      </c>
      <c r="Z525" s="13">
        <v>26162</v>
      </c>
      <c r="AA525" s="13">
        <v>26232</v>
      </c>
      <c r="AB525" s="13">
        <v>26397</v>
      </c>
      <c r="AC525" s="13">
        <v>29490</v>
      </c>
      <c r="AD525" s="86">
        <v>15985</v>
      </c>
      <c r="AE525" s="86">
        <v>15985</v>
      </c>
      <c r="AF525" s="71" t="s">
        <v>1662</v>
      </c>
      <c r="AG525" s="23" t="s">
        <v>6534</v>
      </c>
      <c r="AH525" s="23" t="s">
        <v>94</v>
      </c>
      <c r="AI525" s="71" t="s">
        <v>6535</v>
      </c>
      <c r="AJ525" s="23" t="s">
        <v>6536</v>
      </c>
      <c r="AK525" s="17" t="s">
        <v>95</v>
      </c>
      <c r="AL525" s="17" t="s">
        <v>6537</v>
      </c>
      <c r="AM525" s="17" t="s">
        <v>94</v>
      </c>
      <c r="AN525" s="17" t="s">
        <v>86</v>
      </c>
      <c r="AO525" s="23" t="s">
        <v>6538</v>
      </c>
      <c r="AP525" s="23" t="s">
        <v>6539</v>
      </c>
      <c r="AQ525" s="23" t="s">
        <v>5738</v>
      </c>
      <c r="AR525" s="23" t="s">
        <v>6540</v>
      </c>
      <c r="AS525" s="23" t="s">
        <v>6541</v>
      </c>
      <c r="AT525" s="17"/>
      <c r="AU525" s="30" t="s">
        <v>6542</v>
      </c>
      <c r="AV525" s="14">
        <v>11164</v>
      </c>
      <c r="AW525" s="74"/>
      <c r="AX525" s="1"/>
      <c r="AY525" s="17" t="s">
        <v>101</v>
      </c>
    </row>
    <row r="526" spans="1:51" ht="15" customHeight="1" x14ac:dyDescent="0.25">
      <c r="A526" s="5">
        <v>515</v>
      </c>
      <c r="B526" s="9">
        <v>515</v>
      </c>
      <c r="C526" s="9" t="s">
        <v>6543</v>
      </c>
      <c r="D526" s="57" t="str">
        <f>HYPERLINK("http://prodenv.dep.state.fl.us/DepNexus/public/electronic-documents/OG_515/facility!search","OG_515_Docs")</f>
        <v>OG_515_Docs</v>
      </c>
      <c r="E526" s="57" t="str">
        <f>HYPERLINK("https://ca.dep.state.fl.us/mapdirect/?focus=oilandgas&amp;zoom=query&amp;querytype=oilandgas&amp;queryvalues=OG_515","OG_515_Map")</f>
        <v>OG_515_Map</v>
      </c>
      <c r="F526" s="1" t="s">
        <v>1797</v>
      </c>
      <c r="G526" s="1" t="s">
        <v>5133</v>
      </c>
      <c r="H526" s="1" t="s">
        <v>3669</v>
      </c>
      <c r="I526" s="1" t="s">
        <v>6544</v>
      </c>
      <c r="J526" s="17" t="s">
        <v>268</v>
      </c>
      <c r="K526" s="17" t="s">
        <v>2105</v>
      </c>
      <c r="L526" s="17"/>
      <c r="M526" s="17"/>
      <c r="N526" s="52" t="s">
        <v>6529</v>
      </c>
      <c r="O526" s="17" t="s">
        <v>86</v>
      </c>
      <c r="P526" s="17" t="s">
        <v>86</v>
      </c>
      <c r="Q526" s="81" t="s">
        <v>6545</v>
      </c>
      <c r="R526" s="11">
        <v>30.944831000000001</v>
      </c>
      <c r="S526" s="11">
        <v>-87.174735999999996</v>
      </c>
      <c r="T526" s="11" t="s">
        <v>6546</v>
      </c>
      <c r="U526" s="11" t="s">
        <v>6547</v>
      </c>
      <c r="V526" s="17" t="s">
        <v>352</v>
      </c>
      <c r="W526" s="17" t="s">
        <v>110</v>
      </c>
      <c r="X526" s="70">
        <v>292</v>
      </c>
      <c r="Y526" s="70">
        <v>273</v>
      </c>
      <c r="Z526" s="13">
        <v>26162</v>
      </c>
      <c r="AA526" s="13">
        <v>26233</v>
      </c>
      <c r="AB526" s="13">
        <v>26397</v>
      </c>
      <c r="AC526" s="13">
        <v>31483</v>
      </c>
      <c r="AD526" s="86">
        <v>16033</v>
      </c>
      <c r="AE526" s="86">
        <v>16033</v>
      </c>
      <c r="AF526" s="71" t="s">
        <v>1662</v>
      </c>
      <c r="AG526" s="23" t="s">
        <v>6548</v>
      </c>
      <c r="AH526" s="23" t="s">
        <v>94</v>
      </c>
      <c r="AI526" s="71" t="s">
        <v>6549</v>
      </c>
      <c r="AJ526" s="23" t="s">
        <v>6550</v>
      </c>
      <c r="AK526" s="17" t="s">
        <v>95</v>
      </c>
      <c r="AL526" s="17" t="s">
        <v>6551</v>
      </c>
      <c r="AM526" s="17" t="s">
        <v>94</v>
      </c>
      <c r="AN526" s="17" t="s">
        <v>94</v>
      </c>
      <c r="AO526" s="23" t="s">
        <v>6552</v>
      </c>
      <c r="AP526" s="23" t="s">
        <v>6553</v>
      </c>
      <c r="AQ526" s="23" t="s">
        <v>5738</v>
      </c>
      <c r="AR526" s="23" t="s">
        <v>6554</v>
      </c>
      <c r="AS526" s="23" t="s">
        <v>6555</v>
      </c>
      <c r="AT526" s="17"/>
      <c r="AU526" s="30" t="s">
        <v>6556</v>
      </c>
      <c r="AV526" s="14">
        <v>11150</v>
      </c>
      <c r="AW526" s="74"/>
      <c r="AX526" s="1"/>
      <c r="AY526" s="17" t="s">
        <v>101</v>
      </c>
    </row>
    <row r="527" spans="1:51" ht="15" customHeight="1" x14ac:dyDescent="0.25">
      <c r="A527" s="5">
        <v>516</v>
      </c>
      <c r="B527" s="9">
        <v>516</v>
      </c>
      <c r="C527" s="9" t="s">
        <v>6557</v>
      </c>
      <c r="D527" s="57" t="str">
        <f>HYPERLINK("http://prodenv.dep.state.fl.us/DepNexus/public/electronic-documents/OG_516/facility!search","OG_516_Docs")</f>
        <v>OG_516_Docs</v>
      </c>
      <c r="E527" s="57" t="str">
        <f>HYPERLINK("https://ca.dep.state.fl.us/mapdirect/?focus=oilandgas&amp;zoom=query&amp;querytype=oilandgas&amp;queryvalues=OG_516","OG_516_Map")</f>
        <v>OG_516_Map</v>
      </c>
      <c r="F527" s="1" t="s">
        <v>1752</v>
      </c>
      <c r="G527" s="1" t="s">
        <v>4496</v>
      </c>
      <c r="H527" s="1" t="s">
        <v>3669</v>
      </c>
      <c r="I527" s="1" t="s">
        <v>6558</v>
      </c>
      <c r="J527" s="17" t="s">
        <v>268</v>
      </c>
      <c r="K527" s="17" t="s">
        <v>412</v>
      </c>
      <c r="L527" s="17"/>
      <c r="M527" s="17"/>
      <c r="N527" s="52" t="s">
        <v>3956</v>
      </c>
      <c r="O527" s="17" t="s">
        <v>86</v>
      </c>
      <c r="P527" s="17" t="s">
        <v>86</v>
      </c>
      <c r="Q527" s="81" t="s">
        <v>6559</v>
      </c>
      <c r="R527" s="11">
        <v>26.544526999999999</v>
      </c>
      <c r="S527" s="11">
        <v>-81.550953000000007</v>
      </c>
      <c r="T527" s="11" t="s">
        <v>6560</v>
      </c>
      <c r="U527" s="11" t="s">
        <v>6561</v>
      </c>
      <c r="V527" s="17" t="s">
        <v>6562</v>
      </c>
      <c r="W527" s="17" t="s">
        <v>110</v>
      </c>
      <c r="X527" s="70">
        <v>46</v>
      </c>
      <c r="Y527" s="70">
        <v>31</v>
      </c>
      <c r="Z527" s="13">
        <v>26246</v>
      </c>
      <c r="AA527" s="13">
        <v>26258</v>
      </c>
      <c r="AB527" s="13">
        <v>26298</v>
      </c>
      <c r="AC527" s="13">
        <v>32714</v>
      </c>
      <c r="AD527" s="86">
        <v>11550</v>
      </c>
      <c r="AE527" s="86">
        <v>11550</v>
      </c>
      <c r="AF527" s="71" t="s">
        <v>2752</v>
      </c>
      <c r="AG527" s="23" t="s">
        <v>6563</v>
      </c>
      <c r="AH527" s="23" t="s">
        <v>4828</v>
      </c>
      <c r="AI527" s="71" t="s">
        <v>5733</v>
      </c>
      <c r="AJ527" s="23" t="s">
        <v>6564</v>
      </c>
      <c r="AK527" s="23" t="s">
        <v>94</v>
      </c>
      <c r="AL527" s="23" t="s">
        <v>6565</v>
      </c>
      <c r="AM527" s="17" t="s">
        <v>94</v>
      </c>
      <c r="AN527" s="17" t="s">
        <v>94</v>
      </c>
      <c r="AO527" s="23" t="s">
        <v>6566</v>
      </c>
      <c r="AP527" s="23" t="s">
        <v>6567</v>
      </c>
      <c r="AQ527" s="23" t="s">
        <v>6496</v>
      </c>
      <c r="AR527" s="23" t="s">
        <v>6568</v>
      </c>
      <c r="AS527" s="23" t="s">
        <v>6569</v>
      </c>
      <c r="AT527" s="17"/>
      <c r="AU527" s="30" t="s">
        <v>6570</v>
      </c>
      <c r="AV527" s="14">
        <v>11670</v>
      </c>
      <c r="AW527" s="74"/>
      <c r="AX527" s="1"/>
      <c r="AY527" s="17" t="s">
        <v>101</v>
      </c>
    </row>
    <row r="528" spans="1:51" ht="15" customHeight="1" x14ac:dyDescent="0.25">
      <c r="A528" s="5">
        <v>517</v>
      </c>
      <c r="B528" s="9">
        <v>517</v>
      </c>
      <c r="C528" s="9" t="s">
        <v>6571</v>
      </c>
      <c r="D528" s="57" t="str">
        <f>HYPERLINK("http://prodenv.dep.state.fl.us/DepNexus/public/electronic-documents/OG_517/facility!search","OG_517_Docs")</f>
        <v>OG_517_Docs</v>
      </c>
      <c r="E528" s="57" t="str">
        <f>HYPERLINK("https://ca.dep.state.fl.us/mapdirect/?focus=oilandgas&amp;zoom=query&amp;querytype=oilandgas&amp;queryvalues=OG_517","OG_517_Map")</f>
        <v>OG_517_Map</v>
      </c>
      <c r="F528" s="1" t="s">
        <v>265</v>
      </c>
      <c r="G528" s="1" t="s">
        <v>79</v>
      </c>
      <c r="H528" s="1" t="s">
        <v>6393</v>
      </c>
      <c r="I528" s="1" t="s">
        <v>6572</v>
      </c>
      <c r="J528" s="17" t="s">
        <v>82</v>
      </c>
      <c r="K528" s="17" t="s">
        <v>83</v>
      </c>
      <c r="L528" s="17"/>
      <c r="M528" s="17"/>
      <c r="N528" s="52" t="s">
        <v>3956</v>
      </c>
      <c r="O528" s="17" t="s">
        <v>86</v>
      </c>
      <c r="P528" s="17" t="s">
        <v>86</v>
      </c>
      <c r="Q528" s="81" t="s">
        <v>6573</v>
      </c>
      <c r="R528" s="11">
        <v>26.466833999999999</v>
      </c>
      <c r="S528" s="11">
        <v>-81.398069000000007</v>
      </c>
      <c r="T528" s="11" t="s">
        <v>6574</v>
      </c>
      <c r="U528" s="11" t="s">
        <v>6575</v>
      </c>
      <c r="V528" s="17" t="s">
        <v>6576</v>
      </c>
      <c r="W528" s="17" t="s">
        <v>110</v>
      </c>
      <c r="X528" s="70">
        <v>50.8</v>
      </c>
      <c r="Y528" s="70">
        <v>34.799999999999997</v>
      </c>
      <c r="Z528" s="13">
        <v>26162</v>
      </c>
      <c r="AA528" s="13">
        <v>26163</v>
      </c>
      <c r="AB528" s="13"/>
      <c r="AC528" s="13">
        <v>26202</v>
      </c>
      <c r="AD528" s="86">
        <v>11660</v>
      </c>
      <c r="AE528" s="86">
        <v>11660</v>
      </c>
      <c r="AF528" s="70" t="s">
        <v>5035</v>
      </c>
      <c r="AG528" s="17" t="s">
        <v>6577</v>
      </c>
      <c r="AH528" s="23" t="s">
        <v>6578</v>
      </c>
      <c r="AI528" s="70" t="s">
        <v>94</v>
      </c>
      <c r="AJ528" s="17" t="s">
        <v>94</v>
      </c>
      <c r="AK528" s="17" t="s">
        <v>95</v>
      </c>
      <c r="AL528" s="17" t="s">
        <v>6579</v>
      </c>
      <c r="AM528" s="17" t="s">
        <v>94</v>
      </c>
      <c r="AN528" s="17" t="s">
        <v>94</v>
      </c>
      <c r="AO528" s="17" t="s">
        <v>98</v>
      </c>
      <c r="AP528" s="17" t="s">
        <v>98</v>
      </c>
      <c r="AQ528" s="17" t="s">
        <v>98</v>
      </c>
      <c r="AR528" s="17" t="s">
        <v>94</v>
      </c>
      <c r="AS528" s="17" t="s">
        <v>6580</v>
      </c>
      <c r="AT528" s="17"/>
      <c r="AU528" s="30" t="s">
        <v>6581</v>
      </c>
      <c r="AV528" s="14">
        <v>11085</v>
      </c>
      <c r="AW528" s="74"/>
      <c r="AX528" s="1"/>
      <c r="AY528" s="17" t="s">
        <v>101</v>
      </c>
    </row>
    <row r="529" spans="1:51" ht="12.75" customHeight="1" x14ac:dyDescent="0.25">
      <c r="A529" s="5">
        <v>518</v>
      </c>
      <c r="B529" s="9">
        <v>518</v>
      </c>
      <c r="C529" s="9" t="s">
        <v>6582</v>
      </c>
      <c r="D529" s="57" t="str">
        <f>HYPERLINK("http://prodenv.dep.state.fl.us/DepNexus/public/electronic-documents/OG_518/facility!search","OG_518_Docs")</f>
        <v>OG_518_Docs</v>
      </c>
      <c r="E529" s="57" t="str">
        <f>HYPERLINK("https://ca.dep.state.fl.us/mapdirect/?focus=oilandgas&amp;zoom=query&amp;querytype=oilandgas&amp;queryvalues=OG_518","OG_518_Map")</f>
        <v>OG_518_Map</v>
      </c>
      <c r="F529" s="1" t="s">
        <v>829</v>
      </c>
      <c r="G529" s="1" t="s">
        <v>79</v>
      </c>
      <c r="H529" s="1" t="s">
        <v>6583</v>
      </c>
      <c r="I529" s="1" t="s">
        <v>6584</v>
      </c>
      <c r="J529" s="17" t="s">
        <v>82</v>
      </c>
      <c r="K529" s="17" t="s">
        <v>83</v>
      </c>
      <c r="L529" s="17"/>
      <c r="M529" s="17" t="s">
        <v>101</v>
      </c>
      <c r="N529" s="52" t="s">
        <v>6585</v>
      </c>
      <c r="O529" s="17" t="s">
        <v>1962</v>
      </c>
      <c r="P529" s="17" t="s">
        <v>86</v>
      </c>
      <c r="Q529" s="81" t="s">
        <v>6586</v>
      </c>
      <c r="R529" s="11">
        <v>30.902353999999999</v>
      </c>
      <c r="S529" s="11">
        <v>-86.743041000000005</v>
      </c>
      <c r="T529" s="11" t="s">
        <v>6587</v>
      </c>
      <c r="U529" s="11" t="s">
        <v>6588</v>
      </c>
      <c r="V529" s="17" t="s">
        <v>6589</v>
      </c>
      <c r="W529" s="17" t="s">
        <v>110</v>
      </c>
      <c r="X529" s="70">
        <v>220</v>
      </c>
      <c r="Y529" s="70">
        <v>203</v>
      </c>
      <c r="Z529" s="13">
        <v>26176</v>
      </c>
      <c r="AA529" s="13">
        <v>26203</v>
      </c>
      <c r="AB529" s="13"/>
      <c r="AC529" s="13">
        <v>26263</v>
      </c>
      <c r="AD529" s="86">
        <v>15008</v>
      </c>
      <c r="AE529" s="86">
        <v>15008</v>
      </c>
      <c r="AF529" s="70" t="s">
        <v>6440</v>
      </c>
      <c r="AG529" s="17" t="s">
        <v>6590</v>
      </c>
      <c r="AH529" s="17" t="s">
        <v>94</v>
      </c>
      <c r="AI529" s="70" t="s">
        <v>94</v>
      </c>
      <c r="AJ529" s="17" t="s">
        <v>94</v>
      </c>
      <c r="AK529" s="17" t="s">
        <v>95</v>
      </c>
      <c r="AL529" s="17" t="s">
        <v>6591</v>
      </c>
      <c r="AM529" s="17" t="s">
        <v>94</v>
      </c>
      <c r="AN529" s="17" t="s">
        <v>94</v>
      </c>
      <c r="AO529" s="17" t="s">
        <v>98</v>
      </c>
      <c r="AP529" s="17" t="s">
        <v>98</v>
      </c>
      <c r="AQ529" s="17" t="s">
        <v>98</v>
      </c>
      <c r="AR529" s="17" t="s">
        <v>94</v>
      </c>
      <c r="AS529" s="17" t="s">
        <v>6592</v>
      </c>
      <c r="AT529" s="17">
        <v>236</v>
      </c>
      <c r="AU529" s="30" t="s">
        <v>6593</v>
      </c>
      <c r="AV529" s="14">
        <v>11550</v>
      </c>
      <c r="AW529" s="74"/>
      <c r="AX529" s="1"/>
      <c r="AY529" s="17" t="s">
        <v>101</v>
      </c>
    </row>
    <row r="530" spans="1:51" ht="12.75" customHeight="1" x14ac:dyDescent="0.25">
      <c r="A530" s="5">
        <v>519</v>
      </c>
      <c r="B530" s="9">
        <v>519</v>
      </c>
      <c r="C530" s="9" t="s">
        <v>6594</v>
      </c>
      <c r="D530" s="57" t="str">
        <f>HYPERLINK("http://prodenv.dep.state.fl.us/DepNexus/public/electronic-documents/OG_519/facility!search","OG_519_Docs")</f>
        <v>OG_519_Docs</v>
      </c>
      <c r="E530" s="57" t="str">
        <f>HYPERLINK("https://ca.dep.state.fl.us/mapdirect/?focus=oilandgas&amp;zoom=query&amp;querytype=oilandgas&amp;queryvalues=OG_519","OG_519_Map")</f>
        <v>OG_519_Map</v>
      </c>
      <c r="F530" s="1" t="s">
        <v>314</v>
      </c>
      <c r="G530" s="1" t="s">
        <v>79</v>
      </c>
      <c r="H530" s="1" t="s">
        <v>909</v>
      </c>
      <c r="I530" s="1" t="s">
        <v>6595</v>
      </c>
      <c r="J530" s="17" t="s">
        <v>82</v>
      </c>
      <c r="K530" s="17" t="s">
        <v>83</v>
      </c>
      <c r="L530" s="17"/>
      <c r="M530" s="17" t="s">
        <v>101</v>
      </c>
      <c r="N530" s="52" t="s">
        <v>6596</v>
      </c>
      <c r="O530" s="17" t="s">
        <v>86</v>
      </c>
      <c r="P530" s="17" t="s">
        <v>86</v>
      </c>
      <c r="Q530" s="81" t="s">
        <v>6597</v>
      </c>
      <c r="R530" s="11">
        <v>30.777301000000001</v>
      </c>
      <c r="S530" s="11">
        <v>-86.352829999999997</v>
      </c>
      <c r="T530" s="11" t="s">
        <v>6598</v>
      </c>
      <c r="U530" s="11" t="s">
        <v>6599</v>
      </c>
      <c r="V530" s="17" t="s">
        <v>6600</v>
      </c>
      <c r="W530" s="17" t="s">
        <v>110</v>
      </c>
      <c r="X530" s="70">
        <v>214</v>
      </c>
      <c r="Y530" s="70">
        <v>195.2</v>
      </c>
      <c r="Z530" s="13">
        <v>26176</v>
      </c>
      <c r="AA530" s="13">
        <v>26190</v>
      </c>
      <c r="AB530" s="13">
        <v>26217</v>
      </c>
      <c r="AC530" s="13">
        <v>26218</v>
      </c>
      <c r="AD530" s="86">
        <v>12340</v>
      </c>
      <c r="AE530" s="86">
        <v>12340</v>
      </c>
      <c r="AF530" s="70" t="s">
        <v>94</v>
      </c>
      <c r="AG530" s="17" t="s">
        <v>6601</v>
      </c>
      <c r="AH530" s="17" t="s">
        <v>94</v>
      </c>
      <c r="AI530" s="70" t="s">
        <v>94</v>
      </c>
      <c r="AJ530" s="17" t="s">
        <v>94</v>
      </c>
      <c r="AK530" s="17" t="s">
        <v>95</v>
      </c>
      <c r="AL530" s="17" t="s">
        <v>94</v>
      </c>
      <c r="AM530" s="17" t="s">
        <v>94</v>
      </c>
      <c r="AN530" s="17" t="s">
        <v>94</v>
      </c>
      <c r="AO530" s="17" t="s">
        <v>98</v>
      </c>
      <c r="AP530" s="17" t="s">
        <v>98</v>
      </c>
      <c r="AQ530" s="17" t="s">
        <v>98</v>
      </c>
      <c r="AR530" s="17" t="s">
        <v>94</v>
      </c>
      <c r="AS530" s="17" t="s">
        <v>6602</v>
      </c>
      <c r="AT530" s="17">
        <v>192</v>
      </c>
      <c r="AU530" s="30" t="s">
        <v>6603</v>
      </c>
      <c r="AV530" s="14">
        <v>11182</v>
      </c>
      <c r="AW530" s="74"/>
      <c r="AX530" s="1"/>
      <c r="AY530" s="17" t="s">
        <v>101</v>
      </c>
    </row>
    <row r="531" spans="1:51" ht="12.75" customHeight="1" x14ac:dyDescent="0.25">
      <c r="A531" s="5">
        <v>520</v>
      </c>
      <c r="B531" s="9">
        <v>520</v>
      </c>
      <c r="C531" s="9" t="s">
        <v>6604</v>
      </c>
      <c r="D531" s="57" t="str">
        <f>HYPERLINK("http://prodenv.dep.state.fl.us/DepNexus/public/electronic-documents/OG_520/facility!search","OG_520_Docs")</f>
        <v>OG_520_Docs</v>
      </c>
      <c r="E531" s="57" t="str">
        <f>HYPERLINK("https://ca.dep.state.fl.us/mapdirect/?focus=oilandgas&amp;zoom=query&amp;querytype=oilandgas&amp;queryvalues=OG_520","OG_520_Map")</f>
        <v>OG_520_Map</v>
      </c>
      <c r="F531" s="1" t="s">
        <v>2026</v>
      </c>
      <c r="G531" s="1" t="s">
        <v>79</v>
      </c>
      <c r="H531" s="1" t="s">
        <v>6605</v>
      </c>
      <c r="I531" s="1" t="s">
        <v>6606</v>
      </c>
      <c r="J531" s="17" t="s">
        <v>82</v>
      </c>
      <c r="K531" s="17" t="s">
        <v>83</v>
      </c>
      <c r="L531" s="17"/>
      <c r="M531" s="17" t="s">
        <v>101</v>
      </c>
      <c r="N531" s="52" t="s">
        <v>3956</v>
      </c>
      <c r="O531" s="17" t="s">
        <v>86</v>
      </c>
      <c r="P531" s="17" t="s">
        <v>86</v>
      </c>
      <c r="Q531" s="81" t="s">
        <v>6607</v>
      </c>
      <c r="R531" s="11">
        <v>26.689899</v>
      </c>
      <c r="S531" s="11">
        <v>-81.723614999999995</v>
      </c>
      <c r="T531" s="11" t="s">
        <v>6608</v>
      </c>
      <c r="U531" s="11" t="s">
        <v>6609</v>
      </c>
      <c r="V531" s="17" t="s">
        <v>6610</v>
      </c>
      <c r="W531" s="17" t="s">
        <v>110</v>
      </c>
      <c r="X531" s="70">
        <v>29.6</v>
      </c>
      <c r="Y531" s="70">
        <v>14</v>
      </c>
      <c r="Z531" s="13">
        <v>26176</v>
      </c>
      <c r="AA531" s="13">
        <v>26493</v>
      </c>
      <c r="AB531" s="13"/>
      <c r="AC531" s="13">
        <v>26526</v>
      </c>
      <c r="AD531" s="86">
        <v>11630</v>
      </c>
      <c r="AE531" s="86">
        <v>11630</v>
      </c>
      <c r="AF531" s="70" t="s">
        <v>6611</v>
      </c>
      <c r="AG531" s="17" t="s">
        <v>6612</v>
      </c>
      <c r="AH531" s="17" t="s">
        <v>94</v>
      </c>
      <c r="AI531" s="70" t="s">
        <v>94</v>
      </c>
      <c r="AJ531" s="17" t="s">
        <v>94</v>
      </c>
      <c r="AK531" s="17" t="s">
        <v>95</v>
      </c>
      <c r="AL531" s="17" t="s">
        <v>95</v>
      </c>
      <c r="AM531" s="17" t="s">
        <v>94</v>
      </c>
      <c r="AN531" s="17" t="s">
        <v>94</v>
      </c>
      <c r="AO531" s="17" t="s">
        <v>98</v>
      </c>
      <c r="AP531" s="17" t="s">
        <v>98</v>
      </c>
      <c r="AQ531" s="17" t="s">
        <v>98</v>
      </c>
      <c r="AR531" s="17" t="s">
        <v>94</v>
      </c>
      <c r="AS531" s="17" t="s">
        <v>6613</v>
      </c>
      <c r="AT531" s="17"/>
      <c r="AU531" s="30" t="s">
        <v>6614</v>
      </c>
      <c r="AV531" s="14">
        <v>11506</v>
      </c>
      <c r="AW531" s="74"/>
      <c r="AX531" s="1"/>
      <c r="AY531" s="17" t="s">
        <v>101</v>
      </c>
    </row>
    <row r="532" spans="1:51" ht="12.75" customHeight="1" x14ac:dyDescent="0.25">
      <c r="A532" s="5">
        <v>521</v>
      </c>
      <c r="B532" s="9">
        <v>521</v>
      </c>
      <c r="C532" s="9" t="s">
        <v>6615</v>
      </c>
      <c r="D532" s="57" t="str">
        <f>HYPERLINK("http://prodenv.dep.state.fl.us/DepNexus/public/electronic-documents/OG_521/facility!search","OG_521_Docs")</f>
        <v>OG_521_Docs</v>
      </c>
      <c r="E532" s="57" t="str">
        <f>HYPERLINK("https://ca.dep.state.fl.us/mapdirect/?focus=oilandgas&amp;zoom=query&amp;querytype=oilandgas&amp;queryvalues=OG_521","OG_521_Map")</f>
        <v>OG_521_Map</v>
      </c>
      <c r="F532" s="1" t="s">
        <v>1797</v>
      </c>
      <c r="G532" s="1" t="s">
        <v>5133</v>
      </c>
      <c r="H532" s="1" t="s">
        <v>1363</v>
      </c>
      <c r="I532" s="1" t="s">
        <v>6616</v>
      </c>
      <c r="J532" s="17" t="s">
        <v>5135</v>
      </c>
      <c r="K532" s="17" t="s">
        <v>4266</v>
      </c>
      <c r="L532" s="17"/>
      <c r="M532" s="17"/>
      <c r="N532" s="52" t="s">
        <v>6172</v>
      </c>
      <c r="O532" s="17" t="s">
        <v>86</v>
      </c>
      <c r="P532" s="17" t="s">
        <v>86</v>
      </c>
      <c r="Q532" s="81" t="s">
        <v>6617</v>
      </c>
      <c r="R532" s="11">
        <v>30.963061</v>
      </c>
      <c r="S532" s="11">
        <v>-87.158912999999998</v>
      </c>
      <c r="T532" s="11" t="s">
        <v>6618</v>
      </c>
      <c r="U532" s="11" t="s">
        <v>6619</v>
      </c>
      <c r="V532" s="17" t="s">
        <v>6620</v>
      </c>
      <c r="W532" s="17" t="s">
        <v>110</v>
      </c>
      <c r="X532" s="70">
        <v>243.01</v>
      </c>
      <c r="Y532" s="70">
        <v>226.31</v>
      </c>
      <c r="Z532" s="13">
        <v>26183</v>
      </c>
      <c r="AA532" s="13">
        <v>26216</v>
      </c>
      <c r="AB532" s="13">
        <v>26422</v>
      </c>
      <c r="AC532" s="13"/>
      <c r="AD532" s="86">
        <v>15753</v>
      </c>
      <c r="AE532" s="86">
        <v>15753</v>
      </c>
      <c r="AF532" s="70" t="s">
        <v>275</v>
      </c>
      <c r="AG532" s="17" t="s">
        <v>6621</v>
      </c>
      <c r="AH532" s="17" t="s">
        <v>94</v>
      </c>
      <c r="AI532" s="70" t="s">
        <v>6622</v>
      </c>
      <c r="AJ532" s="17" t="s">
        <v>6369</v>
      </c>
      <c r="AK532" s="17" t="s">
        <v>95</v>
      </c>
      <c r="AL532" s="17" t="s">
        <v>6623</v>
      </c>
      <c r="AM532" s="17" t="s">
        <v>95</v>
      </c>
      <c r="AN532" s="17" t="s">
        <v>86</v>
      </c>
      <c r="AO532" s="17" t="s">
        <v>6624</v>
      </c>
      <c r="AP532" s="17" t="s">
        <v>6625</v>
      </c>
      <c r="AQ532" s="17" t="s">
        <v>6626</v>
      </c>
      <c r="AR532" s="17" t="s">
        <v>6627</v>
      </c>
      <c r="AS532" s="17" t="s">
        <v>6628</v>
      </c>
      <c r="AT532" s="17"/>
      <c r="AU532" s="30" t="s">
        <v>6629</v>
      </c>
      <c r="AV532" s="14">
        <v>11163</v>
      </c>
      <c r="AW532" s="74">
        <v>311587</v>
      </c>
      <c r="AX532" s="1" t="s">
        <v>6630</v>
      </c>
      <c r="AY532" s="17" t="s">
        <v>101</v>
      </c>
    </row>
    <row r="533" spans="1:51" ht="15" customHeight="1" x14ac:dyDescent="0.25">
      <c r="A533" s="5">
        <v>522</v>
      </c>
      <c r="B533" s="9">
        <v>522</v>
      </c>
      <c r="C533" s="9" t="s">
        <v>6631</v>
      </c>
      <c r="D533" s="57" t="str">
        <f>HYPERLINK("http://prodenv.dep.state.fl.us/DepNexus/public/electronic-documents/OG_522/facility!search","OG_522_Docs")</f>
        <v>OG_522_Docs</v>
      </c>
      <c r="E533" s="57" t="str">
        <f>HYPERLINK("https://ca.dep.state.fl.us/mapdirect/?focus=oilandgas&amp;zoom=query&amp;querytype=oilandgas&amp;queryvalues=OG_522","OG_522_Map")</f>
        <v>OG_522_Map</v>
      </c>
      <c r="F533" s="1" t="s">
        <v>1797</v>
      </c>
      <c r="G533" s="1" t="s">
        <v>5133</v>
      </c>
      <c r="H533" s="1" t="s">
        <v>1363</v>
      </c>
      <c r="I533" s="1" t="s">
        <v>6632</v>
      </c>
      <c r="J533" s="17" t="s">
        <v>5135</v>
      </c>
      <c r="K533" s="17" t="s">
        <v>4266</v>
      </c>
      <c r="L533" s="17"/>
      <c r="M533" s="17"/>
      <c r="N533" s="52" t="s">
        <v>6633</v>
      </c>
      <c r="O533" s="17" t="s">
        <v>86</v>
      </c>
      <c r="P533" s="17" t="s">
        <v>86</v>
      </c>
      <c r="Q533" s="81" t="s">
        <v>6634</v>
      </c>
      <c r="R533" s="11">
        <v>30.958169999999999</v>
      </c>
      <c r="S533" s="11">
        <v>-87.166539999999998</v>
      </c>
      <c r="T533" s="11" t="s">
        <v>6635</v>
      </c>
      <c r="U533" s="11" t="s">
        <v>6636</v>
      </c>
      <c r="V533" s="17" t="s">
        <v>6637</v>
      </c>
      <c r="W533" s="17" t="s">
        <v>110</v>
      </c>
      <c r="X533" s="70">
        <v>228</v>
      </c>
      <c r="Y533" s="70">
        <v>208</v>
      </c>
      <c r="Z533" s="13">
        <v>26183</v>
      </c>
      <c r="AA533" s="13">
        <v>26242</v>
      </c>
      <c r="AB533" s="13">
        <v>26423</v>
      </c>
      <c r="AC533" s="13"/>
      <c r="AD533" s="86">
        <v>15811</v>
      </c>
      <c r="AE533" s="86">
        <v>15811</v>
      </c>
      <c r="AF533" s="70" t="s">
        <v>275</v>
      </c>
      <c r="AG533" s="17" t="s">
        <v>6638</v>
      </c>
      <c r="AH533" s="17" t="s">
        <v>94</v>
      </c>
      <c r="AI533" s="70" t="s">
        <v>6639</v>
      </c>
      <c r="AJ533" s="17" t="s">
        <v>6640</v>
      </c>
      <c r="AK533" s="17" t="s">
        <v>95</v>
      </c>
      <c r="AL533" s="17" t="s">
        <v>6641</v>
      </c>
      <c r="AM533" s="17" t="s">
        <v>94</v>
      </c>
      <c r="AN533" s="17" t="s">
        <v>86</v>
      </c>
      <c r="AO533" s="17" t="s">
        <v>6642</v>
      </c>
      <c r="AP533" s="17" t="s">
        <v>6643</v>
      </c>
      <c r="AQ533" s="17" t="s">
        <v>1094</v>
      </c>
      <c r="AR533" s="17" t="s">
        <v>6644</v>
      </c>
      <c r="AS533" s="17"/>
      <c r="AT533" s="17">
        <v>252</v>
      </c>
      <c r="AU533" s="30" t="s">
        <v>6645</v>
      </c>
      <c r="AV533" s="14">
        <v>11160</v>
      </c>
      <c r="AW533" s="74">
        <v>311588</v>
      </c>
      <c r="AX533" s="1" t="s">
        <v>6646</v>
      </c>
      <c r="AY533" s="17" t="s">
        <v>101</v>
      </c>
    </row>
    <row r="534" spans="1:51" ht="15" customHeight="1" x14ac:dyDescent="0.25">
      <c r="A534" s="5">
        <v>523</v>
      </c>
      <c r="B534" s="9">
        <v>523</v>
      </c>
      <c r="C534" s="9" t="s">
        <v>6647</v>
      </c>
      <c r="D534" s="57" t="str">
        <f>HYPERLINK("http://prodenv.dep.state.fl.us/DepNexus/public/electronic-documents/OG_523/facility!search","OG_523_Docs")</f>
        <v>OG_523_Docs</v>
      </c>
      <c r="E534" s="57" t="str">
        <f>HYPERLINK("https://ca.dep.state.fl.us/mapdirect/?focus=oilandgas&amp;zoom=query&amp;querytype=oilandgas&amp;queryvalues=OG_523","OG_523_Map")</f>
        <v>OG_523_Map</v>
      </c>
      <c r="F534" s="1" t="s">
        <v>1797</v>
      </c>
      <c r="G534" s="1" t="s">
        <v>6648</v>
      </c>
      <c r="H534" s="1" t="s">
        <v>176</v>
      </c>
      <c r="I534" s="1" t="s">
        <v>6649</v>
      </c>
      <c r="J534" s="17" t="s">
        <v>1476</v>
      </c>
      <c r="K534" s="17" t="s">
        <v>412</v>
      </c>
      <c r="L534" s="17"/>
      <c r="M534" s="17" t="s">
        <v>101</v>
      </c>
      <c r="N534" s="52" t="s">
        <v>6046</v>
      </c>
      <c r="O534" s="17" t="s">
        <v>86</v>
      </c>
      <c r="P534" s="17" t="s">
        <v>86</v>
      </c>
      <c r="Q534" s="81" t="s">
        <v>6650</v>
      </c>
      <c r="R534" s="11">
        <v>30.854500000000002</v>
      </c>
      <c r="S534" s="11">
        <v>-87.102597000000003</v>
      </c>
      <c r="T534" s="11" t="s">
        <v>6651</v>
      </c>
      <c r="U534" s="11" t="s">
        <v>6652</v>
      </c>
      <c r="V534" s="17" t="s">
        <v>6653</v>
      </c>
      <c r="W534" s="23" t="s">
        <v>6654</v>
      </c>
      <c r="X534" s="70">
        <v>155</v>
      </c>
      <c r="Y534" s="70">
        <v>129</v>
      </c>
      <c r="Z534" s="13">
        <v>26190</v>
      </c>
      <c r="AA534" s="13">
        <v>26242</v>
      </c>
      <c r="AB534" s="13">
        <v>26311</v>
      </c>
      <c r="AC534" s="13"/>
      <c r="AD534" s="86">
        <v>16235</v>
      </c>
      <c r="AE534" s="86">
        <v>16235</v>
      </c>
      <c r="AF534" s="70" t="s">
        <v>6655</v>
      </c>
      <c r="AG534" s="17" t="s">
        <v>6656</v>
      </c>
      <c r="AH534" s="17" t="s">
        <v>86</v>
      </c>
      <c r="AI534" s="70" t="s">
        <v>6657</v>
      </c>
      <c r="AJ534" s="23" t="s">
        <v>6658</v>
      </c>
      <c r="AK534" s="17" t="s">
        <v>95</v>
      </c>
      <c r="AL534" s="17" t="s">
        <v>6659</v>
      </c>
      <c r="AM534" s="17" t="s">
        <v>95</v>
      </c>
      <c r="AN534" s="17" t="s">
        <v>86</v>
      </c>
      <c r="AO534" s="17" t="s">
        <v>6660</v>
      </c>
      <c r="AP534" s="17" t="s">
        <v>6661</v>
      </c>
      <c r="AQ534" s="17" t="s">
        <v>6662</v>
      </c>
      <c r="AR534" s="17" t="s">
        <v>6663</v>
      </c>
      <c r="AS534" s="17" t="s">
        <v>6664</v>
      </c>
      <c r="AT534" s="17">
        <v>248</v>
      </c>
      <c r="AU534" s="30" t="s">
        <v>6665</v>
      </c>
      <c r="AV534" s="14">
        <v>11168</v>
      </c>
      <c r="AW534" s="74"/>
      <c r="AX534" s="39" t="s">
        <v>6666</v>
      </c>
      <c r="AY534" s="17" t="s">
        <v>101</v>
      </c>
    </row>
    <row r="535" spans="1:51" ht="15" customHeight="1" x14ac:dyDescent="0.25">
      <c r="A535" s="5">
        <v>523.1</v>
      </c>
      <c r="B535" s="9" t="s">
        <v>6667</v>
      </c>
      <c r="C535" s="9" t="s">
        <v>6647</v>
      </c>
      <c r="D535" s="57" t="str">
        <f>HYPERLINK("http://prodenv.dep.state.fl.us/DepNexus/public/electronic-documents/OG_523/facility!search","OG_523_Docs")</f>
        <v>OG_523_Docs</v>
      </c>
      <c r="E535" s="57" t="str">
        <f>HYPERLINK("https://ca.dep.state.fl.us/mapdirect/?focus=oilandgas&amp;zoom=query&amp;querytype=oilandgas&amp;queryvalues=OG_523","OG_523_Map")</f>
        <v>OG_523_Map</v>
      </c>
      <c r="F535" s="1" t="s">
        <v>1797</v>
      </c>
      <c r="G535" s="1" t="s">
        <v>6648</v>
      </c>
      <c r="H535" s="1" t="s">
        <v>6668</v>
      </c>
      <c r="I535" s="1" t="s">
        <v>6669</v>
      </c>
      <c r="J535" s="17" t="s">
        <v>6670</v>
      </c>
      <c r="K535" s="17" t="s">
        <v>6671</v>
      </c>
      <c r="L535" s="17"/>
      <c r="M535" s="17" t="s">
        <v>101</v>
      </c>
      <c r="N535" s="52" t="s">
        <v>6672</v>
      </c>
      <c r="O535" s="17" t="s">
        <v>86</v>
      </c>
      <c r="P535" s="17" t="s">
        <v>86</v>
      </c>
      <c r="Q535" s="81" t="s">
        <v>6650</v>
      </c>
      <c r="R535" s="11">
        <v>30.854500000000002</v>
      </c>
      <c r="S535" s="11">
        <v>-87.102597000000003</v>
      </c>
      <c r="T535" s="11" t="s">
        <v>6651</v>
      </c>
      <c r="U535" s="11" t="s">
        <v>6652</v>
      </c>
      <c r="V535" s="17" t="s">
        <v>6653</v>
      </c>
      <c r="W535" s="17" t="s">
        <v>6673</v>
      </c>
      <c r="X535" s="70">
        <v>155</v>
      </c>
      <c r="Y535" s="70">
        <v>129</v>
      </c>
      <c r="Z535" s="13">
        <v>32587</v>
      </c>
      <c r="AA535" s="13">
        <v>26242</v>
      </c>
      <c r="AB535" s="13">
        <v>26311</v>
      </c>
      <c r="AC535" s="13">
        <v>45736</v>
      </c>
      <c r="AD535" s="86">
        <v>16235</v>
      </c>
      <c r="AE535" s="86">
        <v>16235</v>
      </c>
      <c r="AF535" s="70" t="s">
        <v>6655</v>
      </c>
      <c r="AG535" s="17" t="s">
        <v>6656</v>
      </c>
      <c r="AH535" s="17" t="s">
        <v>94</v>
      </c>
      <c r="AI535" s="70" t="s">
        <v>6674</v>
      </c>
      <c r="AJ535" s="17" t="s">
        <v>6675</v>
      </c>
      <c r="AK535" s="17" t="s">
        <v>95</v>
      </c>
      <c r="AL535" s="17" t="s">
        <v>6659</v>
      </c>
      <c r="AM535" s="17" t="s">
        <v>95</v>
      </c>
      <c r="AN535" s="17" t="s">
        <v>86</v>
      </c>
      <c r="AO535" s="17" t="s">
        <v>94</v>
      </c>
      <c r="AP535" s="17" t="s">
        <v>94</v>
      </c>
      <c r="AQ535" s="17" t="s">
        <v>94</v>
      </c>
      <c r="AR535" s="17" t="s">
        <v>94</v>
      </c>
      <c r="AS535" s="17" t="s">
        <v>6676</v>
      </c>
      <c r="AT535" s="17">
        <v>248</v>
      </c>
      <c r="AU535" s="30" t="s">
        <v>6665</v>
      </c>
      <c r="AV535" s="14">
        <v>11168</v>
      </c>
      <c r="AW535" s="74">
        <v>302383</v>
      </c>
      <c r="AX535" s="24" t="s">
        <v>6677</v>
      </c>
      <c r="AY535" s="17" t="s">
        <v>101</v>
      </c>
    </row>
    <row r="536" spans="1:51" ht="15" customHeight="1" x14ac:dyDescent="0.25">
      <c r="A536" s="5">
        <v>524</v>
      </c>
      <c r="B536" s="9">
        <v>524</v>
      </c>
      <c r="C536" s="9" t="s">
        <v>6678</v>
      </c>
      <c r="D536" s="57" t="str">
        <f>HYPERLINK("http://prodenv.dep.state.fl.us/DepNexus/public/electronic-documents/OG_524/facility!search","OG_524_Docs")</f>
        <v>OG_524_Docs</v>
      </c>
      <c r="E536" s="57" t="str">
        <f>HYPERLINK("https://ca.dep.state.fl.us/mapdirect/?focus=oilandgas&amp;zoom=query&amp;querytype=oilandgas&amp;queryvalues=OG_524","OG_524_Map")</f>
        <v>OG_524_Map</v>
      </c>
      <c r="F536" s="1" t="s">
        <v>265</v>
      </c>
      <c r="G536" s="1" t="s">
        <v>79</v>
      </c>
      <c r="H536" s="1" t="s">
        <v>3669</v>
      </c>
      <c r="I536" s="1" t="s">
        <v>6679</v>
      </c>
      <c r="J536" s="17" t="s">
        <v>82</v>
      </c>
      <c r="K536" s="17" t="s">
        <v>83</v>
      </c>
      <c r="L536" s="17" t="s">
        <v>101</v>
      </c>
      <c r="M536" s="17"/>
      <c r="N536" s="52" t="s">
        <v>3956</v>
      </c>
      <c r="O536" s="17" t="s">
        <v>86</v>
      </c>
      <c r="P536" s="17" t="s">
        <v>86</v>
      </c>
      <c r="Q536" s="81" t="s">
        <v>6680</v>
      </c>
      <c r="R536" s="11">
        <v>26.471962999999999</v>
      </c>
      <c r="S536" s="11">
        <v>-81.486299000000002</v>
      </c>
      <c r="T536" s="11" t="s">
        <v>6681</v>
      </c>
      <c r="U536" s="11" t="s">
        <v>6682</v>
      </c>
      <c r="V536" s="17" t="s">
        <v>6683</v>
      </c>
      <c r="W536" s="17" t="s">
        <v>110</v>
      </c>
      <c r="X536" s="70">
        <v>52</v>
      </c>
      <c r="Y536" s="70">
        <v>34</v>
      </c>
      <c r="Z536" s="13">
        <v>26197</v>
      </c>
      <c r="AA536" s="13">
        <v>26223</v>
      </c>
      <c r="AB536" s="13"/>
      <c r="AC536" s="13">
        <v>26269</v>
      </c>
      <c r="AD536" s="86">
        <v>11770</v>
      </c>
      <c r="AE536" s="86">
        <v>11770</v>
      </c>
      <c r="AF536" s="70" t="s">
        <v>6684</v>
      </c>
      <c r="AG536" s="17" t="s">
        <v>6685</v>
      </c>
      <c r="AH536" s="17" t="s">
        <v>6686</v>
      </c>
      <c r="AI536" s="70" t="s">
        <v>94</v>
      </c>
      <c r="AJ536" s="17" t="s">
        <v>94</v>
      </c>
      <c r="AK536" s="17" t="s">
        <v>95</v>
      </c>
      <c r="AL536" s="17" t="s">
        <v>6687</v>
      </c>
      <c r="AM536" s="17" t="s">
        <v>94</v>
      </c>
      <c r="AN536" s="17" t="s">
        <v>94</v>
      </c>
      <c r="AO536" s="17" t="s">
        <v>98</v>
      </c>
      <c r="AP536" s="17" t="s">
        <v>98</v>
      </c>
      <c r="AQ536" s="17" t="s">
        <v>98</v>
      </c>
      <c r="AR536" s="17" t="s">
        <v>94</v>
      </c>
      <c r="AS536" s="17" t="s">
        <v>6688</v>
      </c>
      <c r="AT536" s="17"/>
      <c r="AU536" s="30" t="s">
        <v>6689</v>
      </c>
      <c r="AV536" s="14">
        <v>11113</v>
      </c>
      <c r="AW536" s="74"/>
      <c r="AX536" s="1"/>
      <c r="AY536" s="17" t="s">
        <v>101</v>
      </c>
    </row>
    <row r="537" spans="1:51" ht="12.75" customHeight="1" x14ac:dyDescent="0.25">
      <c r="A537" s="5">
        <v>525</v>
      </c>
      <c r="B537" s="9">
        <v>525</v>
      </c>
      <c r="C537" s="9" t="s">
        <v>6690</v>
      </c>
      <c r="D537" s="57" t="str">
        <f>HYPERLINK("http://prodenv.dep.state.fl.us/DepNexus/public/electronic-documents/OG_525/facility!search","OG_525_Docs")</f>
        <v>OG_525_Docs</v>
      </c>
      <c r="E537" s="57" t="str">
        <f>HYPERLINK("https://ca.dep.state.fl.us/mapdirect/?focus=oilandgas&amp;zoom=query&amp;querytype=oilandgas&amp;queryvalues=OG_525","OG_525_Map")</f>
        <v>OG_525_Map</v>
      </c>
      <c r="F537" s="1" t="s">
        <v>1797</v>
      </c>
      <c r="G537" s="1" t="s">
        <v>5133</v>
      </c>
      <c r="H537" s="1" t="s">
        <v>1363</v>
      </c>
      <c r="I537" s="1" t="s">
        <v>6691</v>
      </c>
      <c r="J537" s="17" t="s">
        <v>3646</v>
      </c>
      <c r="K537" s="17" t="s">
        <v>412</v>
      </c>
      <c r="L537" s="17"/>
      <c r="M537" s="17"/>
      <c r="N537" s="52" t="s">
        <v>6046</v>
      </c>
      <c r="O537" s="17" t="s">
        <v>86</v>
      </c>
      <c r="P537" s="17" t="s">
        <v>86</v>
      </c>
      <c r="Q537" s="81" t="s">
        <v>6692</v>
      </c>
      <c r="R537" s="11">
        <v>30.928805000000001</v>
      </c>
      <c r="S537" s="11">
        <v>-87.145484999999994</v>
      </c>
      <c r="T537" s="11" t="s">
        <v>6693</v>
      </c>
      <c r="U537" s="11" t="s">
        <v>6694</v>
      </c>
      <c r="V537" s="17" t="s">
        <v>6695</v>
      </c>
      <c r="W537" s="17" t="s">
        <v>110</v>
      </c>
      <c r="X537" s="70">
        <v>252.68</v>
      </c>
      <c r="Y537" s="70">
        <v>233.08</v>
      </c>
      <c r="Z537" s="13">
        <v>26197</v>
      </c>
      <c r="AA537" s="13">
        <v>26225</v>
      </c>
      <c r="AB537" s="13">
        <v>26609</v>
      </c>
      <c r="AC537" s="13"/>
      <c r="AD537" s="86">
        <v>15995</v>
      </c>
      <c r="AE537" s="86">
        <v>15995</v>
      </c>
      <c r="AF537" s="70" t="s">
        <v>1746</v>
      </c>
      <c r="AG537" s="17" t="s">
        <v>6696</v>
      </c>
      <c r="AH537" s="17" t="s">
        <v>94</v>
      </c>
      <c r="AI537" s="70" t="s">
        <v>6697</v>
      </c>
      <c r="AJ537" s="17" t="s">
        <v>6698</v>
      </c>
      <c r="AK537" s="17" t="s">
        <v>95</v>
      </c>
      <c r="AL537" s="17" t="s">
        <v>6699</v>
      </c>
      <c r="AM537" s="17" t="s">
        <v>95</v>
      </c>
      <c r="AN537" s="17"/>
      <c r="AO537" s="17" t="s">
        <v>6700</v>
      </c>
      <c r="AP537" s="17" t="s">
        <v>6701</v>
      </c>
      <c r="AQ537" s="17" t="s">
        <v>6702</v>
      </c>
      <c r="AR537" s="17" t="s">
        <v>6703</v>
      </c>
      <c r="AS537" s="17"/>
      <c r="AT537" s="17"/>
      <c r="AU537" s="30" t="s">
        <v>6704</v>
      </c>
      <c r="AV537" s="14">
        <v>11232</v>
      </c>
      <c r="AW537" s="74">
        <v>309880</v>
      </c>
      <c r="AX537" s="1"/>
      <c r="AY537" s="17" t="s">
        <v>101</v>
      </c>
    </row>
    <row r="538" spans="1:51" ht="15" customHeight="1" x14ac:dyDescent="0.25">
      <c r="A538" s="5">
        <v>526</v>
      </c>
      <c r="B538" s="9">
        <v>526</v>
      </c>
      <c r="C538" s="9" t="s">
        <v>6705</v>
      </c>
      <c r="D538" s="57" t="str">
        <f>HYPERLINK("http://prodenv.dep.state.fl.us/DepNexus/public/electronic-documents/OG_526/facility!search","OG_526_Docs")</f>
        <v>OG_526_Docs</v>
      </c>
      <c r="E538" s="57" t="str">
        <f>HYPERLINK("https://ca.dep.state.fl.us/mapdirect/?focus=oilandgas&amp;zoom=query&amp;querytype=oilandgas&amp;queryvalues=OG_526","OG_526_Map")</f>
        <v>OG_526_Map</v>
      </c>
      <c r="F538" s="1" t="s">
        <v>1797</v>
      </c>
      <c r="G538" s="1" t="s">
        <v>5133</v>
      </c>
      <c r="H538" s="1" t="s">
        <v>3669</v>
      </c>
      <c r="I538" s="1" t="s">
        <v>6706</v>
      </c>
      <c r="J538" s="17" t="s">
        <v>268</v>
      </c>
      <c r="K538" s="17" t="s">
        <v>2105</v>
      </c>
      <c r="L538" s="17"/>
      <c r="M538" s="17"/>
      <c r="N538" s="52" t="s">
        <v>6529</v>
      </c>
      <c r="O538" s="17" t="s">
        <v>86</v>
      </c>
      <c r="P538" s="17" t="s">
        <v>86</v>
      </c>
      <c r="Q538" s="81" t="s">
        <v>6707</v>
      </c>
      <c r="R538" s="11">
        <v>30.944241999999999</v>
      </c>
      <c r="S538" s="11">
        <v>-87.157793999999996</v>
      </c>
      <c r="T538" s="11" t="s">
        <v>6708</v>
      </c>
      <c r="U538" s="11" t="s">
        <v>6709</v>
      </c>
      <c r="V538" s="17" t="s">
        <v>6710</v>
      </c>
      <c r="W538" s="17" t="s">
        <v>110</v>
      </c>
      <c r="X538" s="70">
        <v>272</v>
      </c>
      <c r="Y538" s="70">
        <v>253</v>
      </c>
      <c r="Z538" s="13">
        <v>26204</v>
      </c>
      <c r="AA538" s="13">
        <v>26651</v>
      </c>
      <c r="AB538" s="13">
        <v>26397</v>
      </c>
      <c r="AC538" s="13">
        <v>31537</v>
      </c>
      <c r="AD538" s="86">
        <v>15910</v>
      </c>
      <c r="AE538" s="86">
        <v>15910</v>
      </c>
      <c r="AF538" s="70" t="s">
        <v>6711</v>
      </c>
      <c r="AG538" s="17" t="s">
        <v>6712</v>
      </c>
      <c r="AH538" s="17" t="s">
        <v>94</v>
      </c>
      <c r="AI538" s="70" t="s">
        <v>6713</v>
      </c>
      <c r="AJ538" s="17" t="s">
        <v>6714</v>
      </c>
      <c r="AK538" s="17" t="s">
        <v>95</v>
      </c>
      <c r="AL538" s="17" t="s">
        <v>6715</v>
      </c>
      <c r="AM538" s="17" t="s">
        <v>94</v>
      </c>
      <c r="AN538" s="17" t="s">
        <v>94</v>
      </c>
      <c r="AO538" s="17" t="s">
        <v>6716</v>
      </c>
      <c r="AP538" s="17" t="s">
        <v>6717</v>
      </c>
      <c r="AQ538" s="17" t="s">
        <v>5243</v>
      </c>
      <c r="AR538" s="17" t="s">
        <v>6718</v>
      </c>
      <c r="AS538" s="17" t="s">
        <v>6719</v>
      </c>
      <c r="AT538" s="17"/>
      <c r="AU538" s="30" t="s">
        <v>6720</v>
      </c>
      <c r="AV538" s="14">
        <v>11235</v>
      </c>
      <c r="AW538" s="74"/>
      <c r="AX538" s="1"/>
      <c r="AY538" s="17" t="s">
        <v>101</v>
      </c>
    </row>
    <row r="539" spans="1:51" ht="15" customHeight="1" x14ac:dyDescent="0.25">
      <c r="A539" s="5">
        <v>527</v>
      </c>
      <c r="B539" s="9">
        <v>527</v>
      </c>
      <c r="C539" s="9" t="s">
        <v>6721</v>
      </c>
      <c r="D539" s="57" t="str">
        <f>HYPERLINK("http://prodenv.dep.state.fl.us/DepNexus/public/electronic-documents/OG_527/facility!search","OG_527_Docs")</f>
        <v>OG_527_Docs</v>
      </c>
      <c r="E539" s="57" t="str">
        <f>HYPERLINK("https://ca.dep.state.fl.us/mapdirect/?focus=oilandgas&amp;zoom=query&amp;querytype=oilandgas&amp;queryvalues=OG_527","OG_527_Map")</f>
        <v>OG_527_Map</v>
      </c>
      <c r="F539" s="1" t="s">
        <v>2026</v>
      </c>
      <c r="G539" s="1" t="s">
        <v>79</v>
      </c>
      <c r="H539" s="1" t="s">
        <v>176</v>
      </c>
      <c r="I539" s="1" t="s">
        <v>6722</v>
      </c>
      <c r="J539" s="17" t="s">
        <v>82</v>
      </c>
      <c r="K539" s="17" t="s">
        <v>83</v>
      </c>
      <c r="L539" s="17"/>
      <c r="M539" s="17" t="s">
        <v>101</v>
      </c>
      <c r="N539" s="52" t="s">
        <v>3956</v>
      </c>
      <c r="O539" s="17" t="s">
        <v>86</v>
      </c>
      <c r="P539" s="17" t="s">
        <v>86</v>
      </c>
      <c r="Q539" s="81" t="s">
        <v>6723</v>
      </c>
      <c r="R539" s="11">
        <v>26.596215999999998</v>
      </c>
      <c r="S539" s="11">
        <v>-81.681329000000005</v>
      </c>
      <c r="T539" s="11" t="s">
        <v>6724</v>
      </c>
      <c r="U539" s="11" t="s">
        <v>6725</v>
      </c>
      <c r="V539" s="17" t="s">
        <v>6726</v>
      </c>
      <c r="W539" s="17" t="s">
        <v>110</v>
      </c>
      <c r="X539" s="70">
        <v>43.35</v>
      </c>
      <c r="Y539" s="70">
        <v>27.8</v>
      </c>
      <c r="Z539" s="13">
        <v>26218</v>
      </c>
      <c r="AA539" s="13">
        <v>26228</v>
      </c>
      <c r="AB539" s="13"/>
      <c r="AC539" s="13">
        <v>26277</v>
      </c>
      <c r="AD539" s="86">
        <v>11710</v>
      </c>
      <c r="AE539" s="86">
        <v>11710</v>
      </c>
      <c r="AF539" s="70" t="s">
        <v>5457</v>
      </c>
      <c r="AG539" s="17" t="s">
        <v>6727</v>
      </c>
      <c r="AH539" s="17" t="s">
        <v>6728</v>
      </c>
      <c r="AI539" s="70" t="s">
        <v>94</v>
      </c>
      <c r="AJ539" s="17" t="s">
        <v>94</v>
      </c>
      <c r="AK539" s="17" t="s">
        <v>95</v>
      </c>
      <c r="AL539" s="17" t="s">
        <v>6729</v>
      </c>
      <c r="AM539" s="17" t="s">
        <v>94</v>
      </c>
      <c r="AN539" s="17" t="s">
        <v>94</v>
      </c>
      <c r="AO539" s="17" t="s">
        <v>98</v>
      </c>
      <c r="AP539" s="17" t="s">
        <v>98</v>
      </c>
      <c r="AQ539" s="17" t="s">
        <v>98</v>
      </c>
      <c r="AR539" s="17" t="s">
        <v>94</v>
      </c>
      <c r="AS539" s="17" t="s">
        <v>6730</v>
      </c>
      <c r="AT539" s="17">
        <v>198</v>
      </c>
      <c r="AU539" s="30" t="s">
        <v>6731</v>
      </c>
      <c r="AV539" s="14">
        <v>11227</v>
      </c>
      <c r="AW539" s="74"/>
      <c r="AX539" s="1"/>
      <c r="AY539" s="17" t="s">
        <v>101</v>
      </c>
    </row>
    <row r="540" spans="1:51" ht="12.75" customHeight="1" x14ac:dyDescent="0.25">
      <c r="A540" s="5">
        <v>528</v>
      </c>
      <c r="B540" s="9">
        <v>528</v>
      </c>
      <c r="C540" s="9" t="s">
        <v>6732</v>
      </c>
      <c r="D540" s="57" t="str">
        <f>HYPERLINK("http://prodenv.dep.state.fl.us/DepNexus/public/electronic-documents/OG_528/facility!search","OG_528_Docs")</f>
        <v>OG_528_Docs</v>
      </c>
      <c r="E540" s="57" t="str">
        <f>HYPERLINK("https://ca.dep.state.fl.us/mapdirect/?focus=oilandgas&amp;zoom=query&amp;querytype=oilandgas&amp;queryvalues=OG_528","OG_528_Map")</f>
        <v>OG_528_Map</v>
      </c>
      <c r="F540" s="1" t="s">
        <v>1682</v>
      </c>
      <c r="G540" s="1" t="s">
        <v>5133</v>
      </c>
      <c r="H540" s="1" t="s">
        <v>5605</v>
      </c>
      <c r="I540" s="1" t="s">
        <v>6733</v>
      </c>
      <c r="J540" s="17" t="s">
        <v>268</v>
      </c>
      <c r="K540" s="17" t="s">
        <v>5525</v>
      </c>
      <c r="L540" s="17"/>
      <c r="M540" s="17"/>
      <c r="N540" s="52" t="s">
        <v>6046</v>
      </c>
      <c r="O540" s="17" t="s">
        <v>86</v>
      </c>
      <c r="P540" s="17" t="s">
        <v>86</v>
      </c>
      <c r="Q540" s="81" t="s">
        <v>6734</v>
      </c>
      <c r="R540" s="11">
        <v>30.988029999999998</v>
      </c>
      <c r="S540" s="11">
        <v>-87.212123000000005</v>
      </c>
      <c r="T540" s="11" t="s">
        <v>6735</v>
      </c>
      <c r="U540" s="11" t="s">
        <v>6736</v>
      </c>
      <c r="V540" s="17" t="s">
        <v>6737</v>
      </c>
      <c r="W540" s="17" t="s">
        <v>110</v>
      </c>
      <c r="X540" s="70">
        <v>83.93</v>
      </c>
      <c r="Y540" s="70">
        <v>58.43</v>
      </c>
      <c r="Z540" s="13">
        <v>26218</v>
      </c>
      <c r="AA540" s="13">
        <v>26327</v>
      </c>
      <c r="AB540" s="13">
        <v>26519</v>
      </c>
      <c r="AC540" s="13">
        <v>40038</v>
      </c>
      <c r="AD540" s="86">
        <v>15822</v>
      </c>
      <c r="AE540" s="86">
        <v>15822</v>
      </c>
      <c r="AF540" s="70" t="s">
        <v>2540</v>
      </c>
      <c r="AG540" s="17" t="s">
        <v>6738</v>
      </c>
      <c r="AH540" s="17" t="s">
        <v>94</v>
      </c>
      <c r="AI540" s="70" t="s">
        <v>6739</v>
      </c>
      <c r="AJ540" s="17" t="s">
        <v>6740</v>
      </c>
      <c r="AK540" s="17" t="s">
        <v>94</v>
      </c>
      <c r="AL540" s="17" t="s">
        <v>6741</v>
      </c>
      <c r="AM540" s="17" t="s">
        <v>95</v>
      </c>
      <c r="AN540" s="17" t="s">
        <v>94</v>
      </c>
      <c r="AO540" s="17" t="s">
        <v>6742</v>
      </c>
      <c r="AP540" s="17" t="s">
        <v>6743</v>
      </c>
      <c r="AQ540" s="17" t="s">
        <v>6312</v>
      </c>
      <c r="AR540" s="17" t="s">
        <v>6744</v>
      </c>
      <c r="AS540" s="17" t="s">
        <v>6745</v>
      </c>
      <c r="AT540" s="17"/>
      <c r="AU540" s="30" t="s">
        <v>6746</v>
      </c>
      <c r="AV540" s="14">
        <v>11353</v>
      </c>
      <c r="AW540" s="74"/>
      <c r="AX540" s="1" t="s">
        <v>6747</v>
      </c>
      <c r="AY540" s="17" t="s">
        <v>101</v>
      </c>
    </row>
    <row r="541" spans="1:51" ht="15" customHeight="1" x14ac:dyDescent="0.25">
      <c r="A541" s="5">
        <v>529</v>
      </c>
      <c r="B541" s="9">
        <v>529</v>
      </c>
      <c r="C541" s="9" t="s">
        <v>6748</v>
      </c>
      <c r="D541" s="57" t="str">
        <f>HYPERLINK("http://prodenv.dep.state.fl.us/DepNexus/public/electronic-documents/OG_529/facility!search","OG_529_Docs")</f>
        <v>OG_529_Docs</v>
      </c>
      <c r="E541" s="57" t="str">
        <f>HYPERLINK("https://ca.dep.state.fl.us/mapdirect/?focus=oilandgas&amp;zoom=query&amp;querytype=oilandgas&amp;queryvalues=OG_529","OG_529_Map")</f>
        <v>OG_529_Map</v>
      </c>
      <c r="F541" s="1" t="s">
        <v>1752</v>
      </c>
      <c r="G541" s="1" t="s">
        <v>79</v>
      </c>
      <c r="H541" s="1" t="s">
        <v>6141</v>
      </c>
      <c r="I541" s="1" t="s">
        <v>6749</v>
      </c>
      <c r="J541" s="17" t="s">
        <v>82</v>
      </c>
      <c r="K541" s="17" t="s">
        <v>83</v>
      </c>
      <c r="L541" s="17"/>
      <c r="M541" s="17"/>
      <c r="N541" s="52" t="s">
        <v>3956</v>
      </c>
      <c r="O541" s="17" t="s">
        <v>86</v>
      </c>
      <c r="P541" s="17" t="s">
        <v>86</v>
      </c>
      <c r="Q541" s="81" t="s">
        <v>6750</v>
      </c>
      <c r="R541" s="11">
        <v>26.575581</v>
      </c>
      <c r="S541" s="11">
        <v>-81.495904999999993</v>
      </c>
      <c r="T541" s="11" t="s">
        <v>6751</v>
      </c>
      <c r="U541" s="11" t="s">
        <v>6752</v>
      </c>
      <c r="V541" s="17" t="s">
        <v>6753</v>
      </c>
      <c r="W541" s="17" t="s">
        <v>110</v>
      </c>
      <c r="X541" s="70">
        <v>47</v>
      </c>
      <c r="Y541" s="70">
        <v>31</v>
      </c>
      <c r="Z541" s="13">
        <v>26225</v>
      </c>
      <c r="AA541" s="13">
        <v>26238</v>
      </c>
      <c r="AB541" s="13"/>
      <c r="AC541" s="13">
        <v>26266</v>
      </c>
      <c r="AD541" s="86">
        <v>11400</v>
      </c>
      <c r="AE541" s="86">
        <v>11400</v>
      </c>
      <c r="AF541" s="70" t="s">
        <v>6754</v>
      </c>
      <c r="AG541" s="17" t="s">
        <v>6755</v>
      </c>
      <c r="AH541" s="17" t="s">
        <v>6756</v>
      </c>
      <c r="AI541" s="70" t="s">
        <v>94</v>
      </c>
      <c r="AJ541" s="17" t="s">
        <v>94</v>
      </c>
      <c r="AK541" s="17" t="s">
        <v>95</v>
      </c>
      <c r="AL541" s="17" t="s">
        <v>94</v>
      </c>
      <c r="AM541" s="17" t="s">
        <v>94</v>
      </c>
      <c r="AN541" s="17" t="s">
        <v>6757</v>
      </c>
      <c r="AO541" s="17" t="s">
        <v>98</v>
      </c>
      <c r="AP541" s="17" t="s">
        <v>98</v>
      </c>
      <c r="AQ541" s="17" t="s">
        <v>98</v>
      </c>
      <c r="AR541" s="17" t="s">
        <v>94</v>
      </c>
      <c r="AS541" s="17" t="s">
        <v>6758</v>
      </c>
      <c r="AT541" s="17"/>
      <c r="AU541" s="30" t="s">
        <v>6759</v>
      </c>
      <c r="AV541" s="14">
        <v>11148</v>
      </c>
      <c r="AW541" s="74"/>
      <c r="AX541" s="1"/>
      <c r="AY541" s="17" t="s">
        <v>101</v>
      </c>
    </row>
    <row r="542" spans="1:51" ht="15" customHeight="1" x14ac:dyDescent="0.25">
      <c r="A542" s="5">
        <v>529.1</v>
      </c>
      <c r="B542" s="9" t="s">
        <v>6760</v>
      </c>
      <c r="C542" s="9" t="s">
        <v>6748</v>
      </c>
      <c r="D542" s="57" t="str">
        <f>HYPERLINK("http://prodenv.dep.state.fl.us/DepNexus/public/electronic-documents/OG_529/facility!search","OG_529_Docs")</f>
        <v>OG_529_Docs</v>
      </c>
      <c r="E542" s="57" t="str">
        <f>HYPERLINK("https://ca.dep.state.fl.us/mapdirect/?focus=oilandgas&amp;zoom=query&amp;querytype=oilandgas&amp;queryvalues=OG_529","OG_529_Map")</f>
        <v>OG_529_Map</v>
      </c>
      <c r="F542" s="1" t="s">
        <v>1752</v>
      </c>
      <c r="G542" s="1" t="s">
        <v>79</v>
      </c>
      <c r="H542" s="1" t="s">
        <v>6141</v>
      </c>
      <c r="I542" s="1" t="s">
        <v>6761</v>
      </c>
      <c r="J542" s="17" t="s">
        <v>207</v>
      </c>
      <c r="K542" s="17" t="s">
        <v>208</v>
      </c>
      <c r="L542" s="17"/>
      <c r="M542" s="17" t="s">
        <v>207</v>
      </c>
      <c r="N542" s="52" t="s">
        <v>86</v>
      </c>
      <c r="O542" s="17" t="s">
        <v>86</v>
      </c>
      <c r="P542" s="17" t="s">
        <v>86</v>
      </c>
      <c r="Q542" s="81" t="s">
        <v>6750</v>
      </c>
      <c r="R542" s="11">
        <v>26.575581</v>
      </c>
      <c r="S542" s="11">
        <v>-81.495904999999993</v>
      </c>
      <c r="T542" s="11" t="s">
        <v>6751</v>
      </c>
      <c r="U542" s="11" t="s">
        <v>6752</v>
      </c>
      <c r="V542" s="17" t="s">
        <v>6753</v>
      </c>
      <c r="W542" s="17" t="s">
        <v>110</v>
      </c>
      <c r="X542" s="70"/>
      <c r="Y542" s="70"/>
      <c r="Z542" s="13"/>
      <c r="AA542" s="13"/>
      <c r="AB542" s="13"/>
      <c r="AC542" s="13"/>
      <c r="AD542" s="86"/>
      <c r="AE542" s="86"/>
      <c r="AF542" s="70" t="s">
        <v>207</v>
      </c>
      <c r="AG542" s="17" t="s">
        <v>207</v>
      </c>
      <c r="AH542" s="17" t="s">
        <v>207</v>
      </c>
      <c r="AI542" s="70" t="s">
        <v>207</v>
      </c>
      <c r="AJ542" s="17" t="s">
        <v>207</v>
      </c>
      <c r="AK542" s="17" t="s">
        <v>207</v>
      </c>
      <c r="AL542" s="17" t="s">
        <v>207</v>
      </c>
      <c r="AM542" s="17" t="s">
        <v>207</v>
      </c>
      <c r="AN542" s="17" t="s">
        <v>207</v>
      </c>
      <c r="AO542" s="17" t="s">
        <v>207</v>
      </c>
      <c r="AP542" s="17" t="s">
        <v>207</v>
      </c>
      <c r="AQ542" s="17" t="s">
        <v>207</v>
      </c>
      <c r="AR542" s="17" t="s">
        <v>207</v>
      </c>
      <c r="AS542" s="17" t="s">
        <v>207</v>
      </c>
      <c r="AT542" s="17" t="s">
        <v>207</v>
      </c>
      <c r="AU542" s="30" t="s">
        <v>207</v>
      </c>
      <c r="AV542" s="14" t="s">
        <v>207</v>
      </c>
      <c r="AW542" s="74"/>
      <c r="AX542" s="1"/>
      <c r="AY542" s="17" t="s">
        <v>101</v>
      </c>
    </row>
    <row r="543" spans="1:51" ht="15" customHeight="1" x14ac:dyDescent="0.25">
      <c r="A543" s="5">
        <v>530</v>
      </c>
      <c r="B543" s="9">
        <v>530</v>
      </c>
      <c r="C543" s="9" t="s">
        <v>6762</v>
      </c>
      <c r="D543" s="57" t="str">
        <f>HYPERLINK("http://prodenv.dep.state.fl.us/DepNexus/public/electronic-documents/OG_530/facility!search","OG_530_Docs")</f>
        <v>OG_530_Docs</v>
      </c>
      <c r="E543" s="57" t="str">
        <f>HYPERLINK("https://ca.dep.state.fl.us/mapdirect/?focus=oilandgas&amp;zoom=query&amp;querytype=oilandgas&amp;queryvalues=OG_530","OG_530_Map")</f>
        <v>OG_530_Map</v>
      </c>
      <c r="F543" s="1" t="s">
        <v>1682</v>
      </c>
      <c r="G543" s="1" t="s">
        <v>5133</v>
      </c>
      <c r="H543" s="1" t="s">
        <v>5605</v>
      </c>
      <c r="I543" s="1" t="s">
        <v>6763</v>
      </c>
      <c r="J543" s="17" t="s">
        <v>82</v>
      </c>
      <c r="K543" s="17" t="s">
        <v>83</v>
      </c>
      <c r="L543" s="17"/>
      <c r="M543" s="17"/>
      <c r="N543" s="52" t="s">
        <v>6300</v>
      </c>
      <c r="O543" s="17" t="s">
        <v>86</v>
      </c>
      <c r="P543" s="17" t="s">
        <v>86</v>
      </c>
      <c r="Q543" s="81" t="s">
        <v>6764</v>
      </c>
      <c r="R543" s="11">
        <v>30.992443000000002</v>
      </c>
      <c r="S543" s="11">
        <v>-87.235483000000002</v>
      </c>
      <c r="T543" s="11" t="s">
        <v>6765</v>
      </c>
      <c r="U543" s="11" t="s">
        <v>6766</v>
      </c>
      <c r="V543" s="17" t="s">
        <v>6767</v>
      </c>
      <c r="W543" s="17" t="s">
        <v>110</v>
      </c>
      <c r="X543" s="70">
        <v>84.73</v>
      </c>
      <c r="Y543" s="70">
        <v>57.93</v>
      </c>
      <c r="Z543" s="13">
        <v>26246</v>
      </c>
      <c r="AA543" s="13">
        <v>26252</v>
      </c>
      <c r="AB543" s="13"/>
      <c r="AC543" s="13">
        <v>26312</v>
      </c>
      <c r="AD543" s="86">
        <v>15964</v>
      </c>
      <c r="AE543" s="86">
        <v>15964</v>
      </c>
      <c r="AF543" s="70" t="s">
        <v>6768</v>
      </c>
      <c r="AG543" s="17" t="s">
        <v>6769</v>
      </c>
      <c r="AH543" s="17" t="s">
        <v>94</v>
      </c>
      <c r="AI543" s="70" t="s">
        <v>94</v>
      </c>
      <c r="AJ543" s="17" t="s">
        <v>94</v>
      </c>
      <c r="AK543" s="17" t="s">
        <v>94</v>
      </c>
      <c r="AL543" s="17" t="s">
        <v>6770</v>
      </c>
      <c r="AM543" s="17" t="s">
        <v>95</v>
      </c>
      <c r="AN543" s="13" t="s">
        <v>98</v>
      </c>
      <c r="AO543" s="13" t="s">
        <v>98</v>
      </c>
      <c r="AP543" s="13" t="s">
        <v>98</v>
      </c>
      <c r="AQ543" s="13" t="s">
        <v>98</v>
      </c>
      <c r="AR543" s="13" t="s">
        <v>98</v>
      </c>
      <c r="AS543" s="17" t="s">
        <v>6771</v>
      </c>
      <c r="AT543" s="17"/>
      <c r="AU543" s="30" t="s">
        <v>6772</v>
      </c>
      <c r="AV543" s="14">
        <v>10944</v>
      </c>
      <c r="AW543" s="74"/>
      <c r="AX543" s="1"/>
      <c r="AY543" s="17" t="s">
        <v>101</v>
      </c>
    </row>
    <row r="544" spans="1:51" ht="12.75" customHeight="1" x14ac:dyDescent="0.25">
      <c r="A544" s="5">
        <v>531</v>
      </c>
      <c r="B544" s="9">
        <v>531</v>
      </c>
      <c r="C544" s="9" t="s">
        <v>6773</v>
      </c>
      <c r="D544" s="57" t="str">
        <f>HYPERLINK("http://prodenv.dep.state.fl.us/DepNexus/public/electronic-documents/OG_531/facility!search","OG_531_Docs")</f>
        <v>OG_531_Docs</v>
      </c>
      <c r="E544" s="57" t="str">
        <f>HYPERLINK("https://ca.dep.state.fl.us/mapdirect/?focus=oilandgas&amp;zoom=query&amp;querytype=oilandgas&amp;queryvalues=OG_531","OG_531_Map")</f>
        <v>OG_531_Map</v>
      </c>
      <c r="F544" s="1" t="s">
        <v>1797</v>
      </c>
      <c r="G544" s="1" t="s">
        <v>5133</v>
      </c>
      <c r="H544" s="1" t="s">
        <v>6515</v>
      </c>
      <c r="I544" s="1" t="s">
        <v>6774</v>
      </c>
      <c r="J544" s="17" t="s">
        <v>268</v>
      </c>
      <c r="K544" s="17" t="s">
        <v>2105</v>
      </c>
      <c r="L544" s="17"/>
      <c r="M544" s="17"/>
      <c r="N544" s="52" t="s">
        <v>6529</v>
      </c>
      <c r="O544" s="17" t="s">
        <v>86</v>
      </c>
      <c r="P544" s="17" t="s">
        <v>86</v>
      </c>
      <c r="Q544" s="81" t="s">
        <v>6775</v>
      </c>
      <c r="R544" s="11">
        <v>30.947517999999999</v>
      </c>
      <c r="S544" s="11">
        <v>-87.144715000000005</v>
      </c>
      <c r="T544" s="11" t="s">
        <v>6776</v>
      </c>
      <c r="U544" s="11" t="s">
        <v>6777</v>
      </c>
      <c r="V544" s="17" t="s">
        <v>2751</v>
      </c>
      <c r="W544" s="17" t="s">
        <v>110</v>
      </c>
      <c r="X544" s="70">
        <v>279</v>
      </c>
      <c r="Y544" s="70">
        <v>261</v>
      </c>
      <c r="Z544" s="13">
        <v>26246</v>
      </c>
      <c r="AA544" s="13">
        <v>26277</v>
      </c>
      <c r="AB544" s="13">
        <v>26561</v>
      </c>
      <c r="AC544" s="13">
        <v>29913</v>
      </c>
      <c r="AD544" s="86">
        <v>15960</v>
      </c>
      <c r="AE544" s="86">
        <v>15960</v>
      </c>
      <c r="AF544" s="70" t="s">
        <v>5629</v>
      </c>
      <c r="AG544" s="17" t="s">
        <v>6778</v>
      </c>
      <c r="AH544" s="17" t="s">
        <v>94</v>
      </c>
      <c r="AI544" s="70" t="s">
        <v>6779</v>
      </c>
      <c r="AJ544" s="17" t="s">
        <v>6780</v>
      </c>
      <c r="AK544" s="17" t="s">
        <v>94</v>
      </c>
      <c r="AL544" s="17" t="s">
        <v>94</v>
      </c>
      <c r="AM544" s="17" t="s">
        <v>94</v>
      </c>
      <c r="AN544" s="17" t="s">
        <v>94</v>
      </c>
      <c r="AO544" s="17" t="s">
        <v>6781</v>
      </c>
      <c r="AP544" s="17" t="s">
        <v>6782</v>
      </c>
      <c r="AQ544" s="17" t="s">
        <v>6783</v>
      </c>
      <c r="AR544" s="17" t="s">
        <v>6784</v>
      </c>
      <c r="AS544" s="17" t="s">
        <v>6785</v>
      </c>
      <c r="AT544" s="17">
        <v>264</v>
      </c>
      <c r="AU544" s="30" t="s">
        <v>6786</v>
      </c>
      <c r="AV544" s="14" t="s">
        <v>94</v>
      </c>
      <c r="AW544" s="74"/>
      <c r="AX544" s="1"/>
      <c r="AY544" s="17" t="s">
        <v>101</v>
      </c>
    </row>
    <row r="545" spans="1:51" ht="15" customHeight="1" x14ac:dyDescent="0.25">
      <c r="A545" s="5">
        <v>532</v>
      </c>
      <c r="B545" s="9">
        <v>532</v>
      </c>
      <c r="C545" s="9" t="s">
        <v>6787</v>
      </c>
      <c r="D545" s="57" t="str">
        <f>HYPERLINK("http://prodenv.dep.state.fl.us/DepNexus/public/electronic-documents/OG_532/facility!search","OG_532_Docs")</f>
        <v>OG_532_Docs</v>
      </c>
      <c r="E545" s="57" t="str">
        <f>HYPERLINK("https://ca.dep.state.fl.us/mapdirect/?focus=oilandgas&amp;zoom=query&amp;querytype=oilandgas&amp;queryvalues=OG_532","OG_532_Map")</f>
        <v>OG_532_Map</v>
      </c>
      <c r="F545" s="1" t="s">
        <v>2026</v>
      </c>
      <c r="G545" s="1" t="s">
        <v>79</v>
      </c>
      <c r="H545" s="1" t="s">
        <v>176</v>
      </c>
      <c r="I545" s="1" t="s">
        <v>6788</v>
      </c>
      <c r="J545" s="17" t="s">
        <v>82</v>
      </c>
      <c r="K545" s="17" t="s">
        <v>83</v>
      </c>
      <c r="L545" s="17"/>
      <c r="M545" s="17"/>
      <c r="N545" s="52" t="s">
        <v>3193</v>
      </c>
      <c r="O545" s="17" t="s">
        <v>86</v>
      </c>
      <c r="P545" s="17" t="s">
        <v>86</v>
      </c>
      <c r="Q545" s="81" t="s">
        <v>6789</v>
      </c>
      <c r="R545" s="11">
        <v>26.638165999999998</v>
      </c>
      <c r="S545" s="11">
        <v>-81.642908000000006</v>
      </c>
      <c r="T545" s="11" t="s">
        <v>6790</v>
      </c>
      <c r="U545" s="11" t="s">
        <v>6791</v>
      </c>
      <c r="V545" s="17" t="s">
        <v>6792</v>
      </c>
      <c r="W545" s="17" t="s">
        <v>110</v>
      </c>
      <c r="X545" s="70">
        <v>38.1</v>
      </c>
      <c r="Y545" s="70">
        <v>21.5</v>
      </c>
      <c r="Z545" s="13">
        <v>26253</v>
      </c>
      <c r="AA545" s="13">
        <v>26281</v>
      </c>
      <c r="AB545" s="13"/>
      <c r="AC545" s="13">
        <v>26320</v>
      </c>
      <c r="AD545" s="86">
        <v>11650</v>
      </c>
      <c r="AE545" s="86">
        <v>11650</v>
      </c>
      <c r="AF545" s="70" t="s">
        <v>6793</v>
      </c>
      <c r="AG545" s="17" t="s">
        <v>6794</v>
      </c>
      <c r="AH545" s="17" t="s">
        <v>6795</v>
      </c>
      <c r="AI545" s="70" t="s">
        <v>94</v>
      </c>
      <c r="AJ545" s="17" t="s">
        <v>94</v>
      </c>
      <c r="AK545" s="17" t="s">
        <v>95</v>
      </c>
      <c r="AL545" s="17" t="s">
        <v>94</v>
      </c>
      <c r="AM545" s="17" t="s">
        <v>94</v>
      </c>
      <c r="AN545" s="17" t="s">
        <v>94</v>
      </c>
      <c r="AO545" s="17" t="s">
        <v>98</v>
      </c>
      <c r="AP545" s="17" t="s">
        <v>98</v>
      </c>
      <c r="AQ545" s="17" t="s">
        <v>98</v>
      </c>
      <c r="AR545" s="17" t="s">
        <v>94</v>
      </c>
      <c r="AS545" s="17" t="s">
        <v>6796</v>
      </c>
      <c r="AT545" s="17"/>
      <c r="AU545" s="30" t="s">
        <v>6797</v>
      </c>
      <c r="AV545" s="14">
        <v>11228</v>
      </c>
      <c r="AW545" s="74"/>
      <c r="AX545" s="1"/>
      <c r="AY545" s="17" t="s">
        <v>101</v>
      </c>
    </row>
    <row r="546" spans="1:51" ht="12.75" customHeight="1" x14ac:dyDescent="0.25">
      <c r="A546" s="5">
        <v>533</v>
      </c>
      <c r="B546" s="9">
        <v>533</v>
      </c>
      <c r="C546" s="9" t="s">
        <v>6798</v>
      </c>
      <c r="D546" s="57" t="str">
        <f>HYPERLINK("http://prodenv.dep.state.fl.us/DepNexus/public/electronic-documents/OG_533/facility!search","OG_533_Docs")</f>
        <v>OG_533_Docs</v>
      </c>
      <c r="E546" s="57" t="str">
        <f>HYPERLINK("https://ca.dep.state.fl.us/mapdirect/?focus=oilandgas&amp;zoom=query&amp;querytype=oilandgas&amp;queryvalues=OG_533","OG_533_Map")</f>
        <v>OG_533_Map</v>
      </c>
      <c r="F546" s="1" t="s">
        <v>1797</v>
      </c>
      <c r="G546" s="1" t="s">
        <v>1798</v>
      </c>
      <c r="H546" s="1" t="s">
        <v>5605</v>
      </c>
      <c r="I546" s="1" t="s">
        <v>6799</v>
      </c>
      <c r="J546" s="17" t="s">
        <v>268</v>
      </c>
      <c r="K546" s="17" t="s">
        <v>5975</v>
      </c>
      <c r="L546" s="17"/>
      <c r="M546" s="17"/>
      <c r="N546" s="52" t="s">
        <v>6529</v>
      </c>
      <c r="O546" s="17" t="s">
        <v>86</v>
      </c>
      <c r="P546" s="17" t="s">
        <v>86</v>
      </c>
      <c r="Q546" s="81" t="s">
        <v>6378</v>
      </c>
      <c r="R546" s="11">
        <v>30.970480999999999</v>
      </c>
      <c r="S546" s="11">
        <v>-87.110457999999994</v>
      </c>
      <c r="T546" s="11" t="s">
        <v>6800</v>
      </c>
      <c r="U546" s="11" t="s">
        <v>6801</v>
      </c>
      <c r="V546" s="17" t="s">
        <v>6802</v>
      </c>
      <c r="W546" s="17" t="s">
        <v>110</v>
      </c>
      <c r="X546" s="70">
        <v>265.45</v>
      </c>
      <c r="Y546" s="70">
        <v>244.45</v>
      </c>
      <c r="Z546" s="13">
        <v>26260</v>
      </c>
      <c r="AA546" s="13">
        <v>26260</v>
      </c>
      <c r="AB546" s="13">
        <v>26341</v>
      </c>
      <c r="AC546" s="13">
        <v>35681</v>
      </c>
      <c r="AD546" s="86">
        <v>15695</v>
      </c>
      <c r="AE546" s="86">
        <v>15695</v>
      </c>
      <c r="AF546" s="70" t="s">
        <v>6803</v>
      </c>
      <c r="AG546" s="17" t="s">
        <v>6804</v>
      </c>
      <c r="AH546" s="17" t="s">
        <v>94</v>
      </c>
      <c r="AI546" s="70" t="s">
        <v>6805</v>
      </c>
      <c r="AJ546" s="17" t="s">
        <v>94</v>
      </c>
      <c r="AK546" s="17" t="s">
        <v>94</v>
      </c>
      <c r="AL546" s="17" t="s">
        <v>6806</v>
      </c>
      <c r="AM546" s="17" t="s">
        <v>95</v>
      </c>
      <c r="AN546" s="17" t="s">
        <v>94</v>
      </c>
      <c r="AO546" s="17" t="s">
        <v>94</v>
      </c>
      <c r="AP546" s="17" t="s">
        <v>94</v>
      </c>
      <c r="AQ546" s="17" t="s">
        <v>94</v>
      </c>
      <c r="AR546" s="17" t="s">
        <v>94</v>
      </c>
      <c r="AS546" s="17" t="s">
        <v>6807</v>
      </c>
      <c r="AT546" s="17"/>
      <c r="AU546" s="30" t="s">
        <v>6808</v>
      </c>
      <c r="AV546" s="14">
        <v>11372</v>
      </c>
      <c r="AW546" s="74"/>
      <c r="AX546" s="1" t="s">
        <v>6809</v>
      </c>
      <c r="AY546" s="17" t="s">
        <v>101</v>
      </c>
    </row>
    <row r="547" spans="1:51" ht="15" customHeight="1" x14ac:dyDescent="0.25">
      <c r="A547" s="5">
        <v>534</v>
      </c>
      <c r="B547" s="9">
        <v>534</v>
      </c>
      <c r="C547" s="9" t="s">
        <v>6810</v>
      </c>
      <c r="D547" s="57" t="str">
        <f>HYPERLINK("http://prodenv.dep.state.fl.us/DepNexus/public/electronic-documents/OG_534/facility!search","OG_534_Docs")</f>
        <v>OG_534_Docs</v>
      </c>
      <c r="E547" s="57" t="str">
        <f>HYPERLINK("https://ca.dep.state.fl.us/mapdirect/?focus=oilandgas&amp;zoom=query&amp;querytype=oilandgas&amp;queryvalues=OG_534","OG_534_Map")</f>
        <v>OG_534_Map</v>
      </c>
      <c r="F547" s="1" t="s">
        <v>1797</v>
      </c>
      <c r="G547" s="1" t="s">
        <v>79</v>
      </c>
      <c r="H547" s="1" t="s">
        <v>6324</v>
      </c>
      <c r="I547" s="1" t="s">
        <v>6811</v>
      </c>
      <c r="J547" s="17" t="s">
        <v>82</v>
      </c>
      <c r="K547" s="17" t="s">
        <v>83</v>
      </c>
      <c r="L547" s="17"/>
      <c r="M547" s="17" t="s">
        <v>101</v>
      </c>
      <c r="N547" s="52" t="s">
        <v>6289</v>
      </c>
      <c r="O547" s="17" t="s">
        <v>86</v>
      </c>
      <c r="P547" s="17" t="s">
        <v>86</v>
      </c>
      <c r="Q547" s="81" t="s">
        <v>6812</v>
      </c>
      <c r="R547" s="11">
        <v>30.666271999999999</v>
      </c>
      <c r="S547" s="11">
        <v>-86.847555999999997</v>
      </c>
      <c r="T547" s="11" t="s">
        <v>6813</v>
      </c>
      <c r="U547" s="11" t="s">
        <v>6814</v>
      </c>
      <c r="V547" s="17" t="s">
        <v>6815</v>
      </c>
      <c r="W547" s="17" t="s">
        <v>110</v>
      </c>
      <c r="X547" s="70">
        <v>178.8</v>
      </c>
      <c r="Y547" s="70">
        <v>155.80000000000001</v>
      </c>
      <c r="Z547" s="13">
        <v>26267</v>
      </c>
      <c r="AA547" s="13">
        <v>26282</v>
      </c>
      <c r="AB547" s="13">
        <v>26371</v>
      </c>
      <c r="AC547" s="13">
        <v>26371</v>
      </c>
      <c r="AD547" s="86">
        <v>16955</v>
      </c>
      <c r="AE547" s="86">
        <v>16955</v>
      </c>
      <c r="AF547" s="70" t="s">
        <v>2260</v>
      </c>
      <c r="AG547" s="17" t="s">
        <v>6816</v>
      </c>
      <c r="AH547" s="17" t="s">
        <v>94</v>
      </c>
      <c r="AI547" s="70" t="s">
        <v>94</v>
      </c>
      <c r="AJ547" s="17" t="s">
        <v>94</v>
      </c>
      <c r="AK547" s="17" t="s">
        <v>95</v>
      </c>
      <c r="AL547" s="17" t="s">
        <v>6817</v>
      </c>
      <c r="AM547" s="17" t="s">
        <v>95</v>
      </c>
      <c r="AN547" s="17" t="s">
        <v>6818</v>
      </c>
      <c r="AO547" s="17" t="s">
        <v>98</v>
      </c>
      <c r="AP547" s="17" t="s">
        <v>98</v>
      </c>
      <c r="AQ547" s="17" t="s">
        <v>98</v>
      </c>
      <c r="AR547" s="17" t="s">
        <v>94</v>
      </c>
      <c r="AS547" s="17" t="s">
        <v>6819</v>
      </c>
      <c r="AT547" s="17">
        <v>253</v>
      </c>
      <c r="AU547" s="30" t="s">
        <v>6820</v>
      </c>
      <c r="AV547" s="14">
        <v>11238</v>
      </c>
      <c r="AW547" s="74"/>
      <c r="AX547" s="1"/>
      <c r="AY547" s="17" t="s">
        <v>101</v>
      </c>
    </row>
    <row r="548" spans="1:51" ht="12.75" customHeight="1" x14ac:dyDescent="0.25">
      <c r="A548" s="5">
        <v>535</v>
      </c>
      <c r="B548" s="9">
        <v>535</v>
      </c>
      <c r="C548" s="9" t="s">
        <v>6821</v>
      </c>
      <c r="D548" s="57" t="str">
        <f>HYPERLINK("http://prodenv.dep.state.fl.us/DepNexus/public/electronic-documents/OG_535/facility!search","OG_535_Docs")</f>
        <v>OG_535_Docs</v>
      </c>
      <c r="E548" s="57" t="str">
        <f>HYPERLINK("https://ca.dep.state.fl.us/mapdirect/?focus=oilandgas&amp;zoom=query&amp;querytype=oilandgas&amp;queryvalues=OG_535","OG_535_Map")</f>
        <v>OG_535_Map</v>
      </c>
      <c r="F548" s="1" t="s">
        <v>1797</v>
      </c>
      <c r="G548" s="1" t="s">
        <v>5133</v>
      </c>
      <c r="H548" s="1" t="s">
        <v>1363</v>
      </c>
      <c r="I548" s="1" t="s">
        <v>6822</v>
      </c>
      <c r="J548" s="17" t="s">
        <v>3646</v>
      </c>
      <c r="K548" s="17" t="s">
        <v>5525</v>
      </c>
      <c r="L548" s="17"/>
      <c r="M548" s="17"/>
      <c r="N548" s="52" t="s">
        <v>5844</v>
      </c>
      <c r="O548" s="17" t="s">
        <v>86</v>
      </c>
      <c r="P548" s="17" t="s">
        <v>86</v>
      </c>
      <c r="Q548" s="81" t="s">
        <v>6823</v>
      </c>
      <c r="R548" s="11">
        <v>30.952168</v>
      </c>
      <c r="S548" s="11">
        <v>-87.183916999999994</v>
      </c>
      <c r="T548" s="11" t="s">
        <v>6824</v>
      </c>
      <c r="U548" s="11" t="s">
        <v>6825</v>
      </c>
      <c r="V548" s="17" t="s">
        <v>6826</v>
      </c>
      <c r="W548" s="17" t="s">
        <v>110</v>
      </c>
      <c r="X548" s="70">
        <v>36</v>
      </c>
      <c r="Y548" s="70">
        <v>22</v>
      </c>
      <c r="Z548" s="13">
        <v>26281</v>
      </c>
      <c r="AA548" s="13">
        <v>26324</v>
      </c>
      <c r="AB548" s="13">
        <v>26431</v>
      </c>
      <c r="AC548" s="13"/>
      <c r="AD548" s="86">
        <v>15918</v>
      </c>
      <c r="AE548" s="86">
        <v>15918</v>
      </c>
      <c r="AF548" s="70" t="s">
        <v>6711</v>
      </c>
      <c r="AG548" s="17" t="s">
        <v>6827</v>
      </c>
      <c r="AH548" s="17" t="s">
        <v>94</v>
      </c>
      <c r="AI548" s="70" t="s">
        <v>6828</v>
      </c>
      <c r="AJ548" s="17" t="s">
        <v>6829</v>
      </c>
      <c r="AK548" s="17" t="s">
        <v>825</v>
      </c>
      <c r="AL548" s="17" t="s">
        <v>6830</v>
      </c>
      <c r="AM548" s="17" t="s">
        <v>95</v>
      </c>
      <c r="AN548" s="17" t="s">
        <v>86</v>
      </c>
      <c r="AO548" s="17" t="s">
        <v>6831</v>
      </c>
      <c r="AP548" s="17" t="s">
        <v>6832</v>
      </c>
      <c r="AQ548" s="17" t="s">
        <v>6833</v>
      </c>
      <c r="AR548" s="17" t="s">
        <v>6834</v>
      </c>
      <c r="AS548" s="17"/>
      <c r="AT548" s="17">
        <v>262</v>
      </c>
      <c r="AU548" s="30" t="s">
        <v>6835</v>
      </c>
      <c r="AV548" s="14">
        <v>11346</v>
      </c>
      <c r="AW548" s="74">
        <v>309881</v>
      </c>
      <c r="AX548" s="1"/>
      <c r="AY548" s="17" t="s">
        <v>101</v>
      </c>
    </row>
    <row r="549" spans="1:51" ht="15" customHeight="1" x14ac:dyDescent="0.25">
      <c r="A549" s="5">
        <v>536</v>
      </c>
      <c r="B549" s="9">
        <v>536</v>
      </c>
      <c r="C549" s="9" t="s">
        <v>6836</v>
      </c>
      <c r="D549" s="57" t="str">
        <f>HYPERLINK("http://prodenv.dep.state.fl.us/DepNexus/public/electronic-documents/OG_536/facility!search","OG_536_Docs")</f>
        <v>OG_536_Docs</v>
      </c>
      <c r="E549" s="57" t="str">
        <f>HYPERLINK("https://ca.dep.state.fl.us/mapdirect/?focus=oilandgas&amp;zoom=query&amp;querytype=oilandgas&amp;queryvalues=OG_536","OG_536_Map")</f>
        <v>OG_536_Map</v>
      </c>
      <c r="F549" s="1" t="s">
        <v>689</v>
      </c>
      <c r="G549" s="1" t="s">
        <v>79</v>
      </c>
      <c r="H549" s="1" t="s">
        <v>6837</v>
      </c>
      <c r="I549" s="1" t="s">
        <v>6838</v>
      </c>
      <c r="J549" s="17" t="s">
        <v>82</v>
      </c>
      <c r="K549" s="17" t="s">
        <v>83</v>
      </c>
      <c r="L549" s="17"/>
      <c r="M549" s="17"/>
      <c r="N549" s="52" t="s">
        <v>6289</v>
      </c>
      <c r="O549" s="17" t="s">
        <v>86</v>
      </c>
      <c r="P549" s="17" t="s">
        <v>86</v>
      </c>
      <c r="Q549" s="81" t="s">
        <v>6839</v>
      </c>
      <c r="R549" s="11">
        <v>29.816908000000002</v>
      </c>
      <c r="S549" s="11">
        <v>-82.244614999999996</v>
      </c>
      <c r="T549" s="11" t="s">
        <v>6840</v>
      </c>
      <c r="U549" s="11" t="s">
        <v>6841</v>
      </c>
      <c r="V549" s="17" t="s">
        <v>6842</v>
      </c>
      <c r="W549" s="17" t="s">
        <v>110</v>
      </c>
      <c r="X549" s="70">
        <v>168</v>
      </c>
      <c r="Y549" s="70">
        <v>156</v>
      </c>
      <c r="Z549" s="13">
        <v>26281</v>
      </c>
      <c r="AA549" s="13">
        <v>26357</v>
      </c>
      <c r="AB549" s="13">
        <v>26390</v>
      </c>
      <c r="AC549" s="13">
        <v>26394</v>
      </c>
      <c r="AD549" s="86">
        <v>2861</v>
      </c>
      <c r="AE549" s="86">
        <v>2861</v>
      </c>
      <c r="AF549" s="70" t="s">
        <v>6843</v>
      </c>
      <c r="AG549" s="17" t="s">
        <v>6844</v>
      </c>
      <c r="AH549" s="17" t="s">
        <v>6845</v>
      </c>
      <c r="AI549" s="70" t="s">
        <v>94</v>
      </c>
      <c r="AJ549" s="17" t="s">
        <v>94</v>
      </c>
      <c r="AK549" s="17" t="s">
        <v>95</v>
      </c>
      <c r="AL549" s="17" t="s">
        <v>6846</v>
      </c>
      <c r="AM549" s="17" t="s">
        <v>94</v>
      </c>
      <c r="AN549" s="17" t="s">
        <v>6847</v>
      </c>
      <c r="AO549" s="17" t="s">
        <v>98</v>
      </c>
      <c r="AP549" s="17" t="s">
        <v>98</v>
      </c>
      <c r="AQ549" s="17" t="s">
        <v>98</v>
      </c>
      <c r="AR549" s="17" t="s">
        <v>94</v>
      </c>
      <c r="AS549" s="17" t="s">
        <v>6848</v>
      </c>
      <c r="AT549" s="17"/>
      <c r="AU549" s="30" t="s">
        <v>6849</v>
      </c>
      <c r="AV549" s="14">
        <v>11447</v>
      </c>
      <c r="AW549" s="74"/>
      <c r="AX549" s="1"/>
      <c r="AY549" s="17" t="s">
        <v>101</v>
      </c>
    </row>
    <row r="550" spans="1:51" ht="12.75" customHeight="1" x14ac:dyDescent="0.25">
      <c r="A550" s="5">
        <v>537</v>
      </c>
      <c r="B550" s="9">
        <v>537</v>
      </c>
      <c r="C550" s="9" t="s">
        <v>6850</v>
      </c>
      <c r="D550" s="57" t="str">
        <f>HYPERLINK("http://prodenv.dep.state.fl.us/DepNexus/public/electronic-documents/OG_537/facility!search","OG_537_Docs")</f>
        <v>OG_537_Docs</v>
      </c>
      <c r="E550" s="57" t="str">
        <f>HYPERLINK("https://ca.dep.state.fl.us/mapdirect/?focus=oilandgas&amp;zoom=query&amp;querytype=oilandgas&amp;queryvalues=OG_537","OG_537_Map")</f>
        <v>OG_537_Map</v>
      </c>
      <c r="F550" s="1" t="s">
        <v>1797</v>
      </c>
      <c r="G550" s="1" t="s">
        <v>5133</v>
      </c>
      <c r="H550" s="1" t="s">
        <v>176</v>
      </c>
      <c r="I550" s="1" t="s">
        <v>6851</v>
      </c>
      <c r="J550" s="17" t="s">
        <v>268</v>
      </c>
      <c r="K550" s="17" t="s">
        <v>5525</v>
      </c>
      <c r="L550" s="17"/>
      <c r="M550" s="17"/>
      <c r="N550" s="52" t="s">
        <v>6852</v>
      </c>
      <c r="O550" s="17" t="s">
        <v>86</v>
      </c>
      <c r="P550" s="17" t="s">
        <v>86</v>
      </c>
      <c r="Q550" s="81" t="s">
        <v>6853</v>
      </c>
      <c r="R550" s="11">
        <v>30.950721000000001</v>
      </c>
      <c r="S550" s="11">
        <v>-87.157706000000005</v>
      </c>
      <c r="T550" s="11" t="s">
        <v>6854</v>
      </c>
      <c r="U550" s="11" t="s">
        <v>6855</v>
      </c>
      <c r="V550" s="17" t="s">
        <v>6856</v>
      </c>
      <c r="W550" s="17" t="s">
        <v>110</v>
      </c>
      <c r="X550" s="70">
        <v>281.5</v>
      </c>
      <c r="Y550" s="70">
        <v>261.8</v>
      </c>
      <c r="Z550" s="13">
        <v>26281</v>
      </c>
      <c r="AA550" s="13">
        <v>26310</v>
      </c>
      <c r="AB550" s="13">
        <v>26466</v>
      </c>
      <c r="AC550" s="13">
        <v>38323</v>
      </c>
      <c r="AD550" s="86">
        <v>15955</v>
      </c>
      <c r="AE550" s="86">
        <v>15955</v>
      </c>
      <c r="AF550" s="70" t="s">
        <v>1746</v>
      </c>
      <c r="AG550" s="17" t="s">
        <v>5531</v>
      </c>
      <c r="AH550" s="17" t="s">
        <v>94</v>
      </c>
      <c r="AI550" s="70" t="s">
        <v>6857</v>
      </c>
      <c r="AJ550" s="17" t="s">
        <v>6858</v>
      </c>
      <c r="AK550" s="17" t="s">
        <v>95</v>
      </c>
      <c r="AL550" s="17" t="s">
        <v>6859</v>
      </c>
      <c r="AM550" s="17" t="s">
        <v>95</v>
      </c>
      <c r="AN550" s="17" t="s">
        <v>94</v>
      </c>
      <c r="AO550" s="17" t="s">
        <v>6860</v>
      </c>
      <c r="AP550" s="17" t="s">
        <v>6861</v>
      </c>
      <c r="AQ550" s="17" t="s">
        <v>5617</v>
      </c>
      <c r="AR550" s="17" t="s">
        <v>6862</v>
      </c>
      <c r="AS550" s="17" t="s">
        <v>6863</v>
      </c>
      <c r="AT550" s="17"/>
      <c r="AU550" s="30" t="s">
        <v>6864</v>
      </c>
      <c r="AV550" s="14">
        <v>11237</v>
      </c>
      <c r="AW550" s="74"/>
      <c r="AX550" s="1"/>
      <c r="AY550" s="17" t="s">
        <v>101</v>
      </c>
    </row>
    <row r="551" spans="1:51" ht="15" customHeight="1" x14ac:dyDescent="0.25">
      <c r="A551" s="5">
        <v>538</v>
      </c>
      <c r="B551" s="9">
        <v>538</v>
      </c>
      <c r="C551" s="9" t="s">
        <v>6865</v>
      </c>
      <c r="D551" s="57" t="str">
        <f>HYPERLINK("http://prodenv.dep.state.fl.us/DepNexus/public/electronic-documents/OG_538/facility!search","OG_538_Docs")</f>
        <v>OG_538_Docs</v>
      </c>
      <c r="E551" s="57" t="str">
        <f>HYPERLINK("https://ca.dep.state.fl.us/mapdirect/?focus=oilandgas&amp;zoom=query&amp;querytype=oilandgas&amp;queryvalues=OG_538","OG_538_Map")</f>
        <v>OG_538_Map</v>
      </c>
      <c r="F551" s="1" t="s">
        <v>1797</v>
      </c>
      <c r="G551" s="1" t="s">
        <v>5133</v>
      </c>
      <c r="H551" s="1" t="s">
        <v>3669</v>
      </c>
      <c r="I551" s="1" t="s">
        <v>6866</v>
      </c>
      <c r="J551" s="17" t="s">
        <v>268</v>
      </c>
      <c r="K551" s="17" t="s">
        <v>2105</v>
      </c>
      <c r="L551" s="17"/>
      <c r="M551" s="17"/>
      <c r="N551" s="52" t="s">
        <v>3886</v>
      </c>
      <c r="O551" s="17" t="s">
        <v>86</v>
      </c>
      <c r="P551" s="17" t="s">
        <v>86</v>
      </c>
      <c r="Q551" s="81" t="s">
        <v>6867</v>
      </c>
      <c r="R551" s="11">
        <v>30.930205999999998</v>
      </c>
      <c r="S551" s="11">
        <v>-87.159383000000005</v>
      </c>
      <c r="T551" s="11" t="s">
        <v>6868</v>
      </c>
      <c r="U551" s="11" t="s">
        <v>6869</v>
      </c>
      <c r="V551" s="17" t="s">
        <v>6870</v>
      </c>
      <c r="W551" s="17" t="s">
        <v>110</v>
      </c>
      <c r="X551" s="70">
        <v>282</v>
      </c>
      <c r="Y551" s="70">
        <v>262</v>
      </c>
      <c r="Z551" s="13">
        <v>26281</v>
      </c>
      <c r="AA551" s="13">
        <v>26285</v>
      </c>
      <c r="AB551" s="13">
        <v>26403</v>
      </c>
      <c r="AC551" s="13">
        <v>34310</v>
      </c>
      <c r="AD551" s="86">
        <v>15817</v>
      </c>
      <c r="AE551" s="86">
        <v>15817</v>
      </c>
      <c r="AF551" s="70" t="s">
        <v>6711</v>
      </c>
      <c r="AG551" s="17" t="s">
        <v>6871</v>
      </c>
      <c r="AH551" s="17" t="s">
        <v>94</v>
      </c>
      <c r="AI551" s="70" t="s">
        <v>6872</v>
      </c>
      <c r="AJ551" s="17" t="s">
        <v>6873</v>
      </c>
      <c r="AK551" s="17" t="s">
        <v>94</v>
      </c>
      <c r="AL551" s="17" t="s">
        <v>6874</v>
      </c>
      <c r="AM551" s="17" t="s">
        <v>94</v>
      </c>
      <c r="AN551" s="17" t="s">
        <v>94</v>
      </c>
      <c r="AO551" s="17" t="s">
        <v>6875</v>
      </c>
      <c r="AP551" s="17" t="s">
        <v>6876</v>
      </c>
      <c r="AQ551" s="17" t="s">
        <v>5738</v>
      </c>
      <c r="AR551" s="17" t="s">
        <v>6877</v>
      </c>
      <c r="AS551" s="17" t="s">
        <v>6878</v>
      </c>
      <c r="AT551" s="17"/>
      <c r="AU551" s="30" t="s">
        <v>6879</v>
      </c>
      <c r="AV551" s="14">
        <v>11354</v>
      </c>
      <c r="AW551" s="74"/>
      <c r="AX551" s="1"/>
      <c r="AY551" s="17" t="s">
        <v>101</v>
      </c>
    </row>
    <row r="552" spans="1:51" ht="15" customHeight="1" x14ac:dyDescent="0.25">
      <c r="A552" s="5">
        <v>539</v>
      </c>
      <c r="B552" s="9">
        <v>539</v>
      </c>
      <c r="C552" s="9" t="s">
        <v>6880</v>
      </c>
      <c r="D552" s="57" t="str">
        <f>HYPERLINK("http://prodenv.dep.state.fl.us/DepNexus/public/electronic-documents/OG_539/facility!search","OG_539_Docs")</f>
        <v>OG_539_Docs</v>
      </c>
      <c r="E552" s="57" t="str">
        <f>HYPERLINK("https://ca.dep.state.fl.us/mapdirect/?focus=oilandgas&amp;zoom=query&amp;querytype=oilandgas&amp;queryvalues=OG_539","OG_539_Map")</f>
        <v>OG_539_Map</v>
      </c>
      <c r="F552" s="1" t="s">
        <v>175</v>
      </c>
      <c r="G552" s="1" t="s">
        <v>79</v>
      </c>
      <c r="H552" s="1" t="s">
        <v>6881</v>
      </c>
      <c r="I552" s="1" t="s">
        <v>6882</v>
      </c>
      <c r="J552" s="17" t="s">
        <v>82</v>
      </c>
      <c r="K552" s="17" t="s">
        <v>83</v>
      </c>
      <c r="L552" s="17"/>
      <c r="M552" s="17" t="s">
        <v>101</v>
      </c>
      <c r="N552" s="52" t="s">
        <v>6883</v>
      </c>
      <c r="O552" s="17" t="s">
        <v>86</v>
      </c>
      <c r="P552" s="17" t="s">
        <v>86</v>
      </c>
      <c r="Q552" s="81" t="s">
        <v>6884</v>
      </c>
      <c r="R552" s="11">
        <v>27.985983999999998</v>
      </c>
      <c r="S552" s="11">
        <v>-81.202912999999995</v>
      </c>
      <c r="T552" s="11" t="s">
        <v>6885</v>
      </c>
      <c r="U552" s="11" t="s">
        <v>6886</v>
      </c>
      <c r="V552" s="17" t="s">
        <v>6887</v>
      </c>
      <c r="W552" s="17" t="s">
        <v>110</v>
      </c>
      <c r="X552" s="70">
        <v>85.5</v>
      </c>
      <c r="Y552" s="70">
        <v>67</v>
      </c>
      <c r="Z552" s="13">
        <v>26281</v>
      </c>
      <c r="AA552" s="13">
        <v>26345</v>
      </c>
      <c r="AB552" s="13">
        <v>26381</v>
      </c>
      <c r="AC552" s="13">
        <v>26381</v>
      </c>
      <c r="AD552" s="86">
        <v>7935</v>
      </c>
      <c r="AE552" s="86">
        <v>7935</v>
      </c>
      <c r="AF552" s="70" t="s">
        <v>6888</v>
      </c>
      <c r="AG552" s="17" t="s">
        <v>6889</v>
      </c>
      <c r="AH552" s="17" t="s">
        <v>6890</v>
      </c>
      <c r="AI552" s="70" t="s">
        <v>94</v>
      </c>
      <c r="AJ552" s="17" t="s">
        <v>94</v>
      </c>
      <c r="AK552" s="17" t="s">
        <v>95</v>
      </c>
      <c r="AL552" s="17" t="s">
        <v>825</v>
      </c>
      <c r="AM552" s="17" t="s">
        <v>825</v>
      </c>
      <c r="AN552" s="17" t="s">
        <v>825</v>
      </c>
      <c r="AO552" s="17" t="s">
        <v>98</v>
      </c>
      <c r="AP552" s="17" t="s">
        <v>98</v>
      </c>
      <c r="AQ552" s="17" t="s">
        <v>98</v>
      </c>
      <c r="AR552" s="17" t="s">
        <v>94</v>
      </c>
      <c r="AS552" s="17" t="s">
        <v>6891</v>
      </c>
      <c r="AT552" s="17">
        <v>134</v>
      </c>
      <c r="AU552" s="30" t="s">
        <v>6892</v>
      </c>
      <c r="AV552" s="14">
        <v>11342</v>
      </c>
      <c r="AW552" s="74"/>
      <c r="AX552" s="1"/>
      <c r="AY552" s="17" t="s">
        <v>101</v>
      </c>
    </row>
    <row r="553" spans="1:51" ht="12.75" customHeight="1" x14ac:dyDescent="0.25">
      <c r="A553" s="5">
        <v>540</v>
      </c>
      <c r="B553" s="9">
        <v>540</v>
      </c>
      <c r="C553" s="9" t="s">
        <v>6893</v>
      </c>
      <c r="D553" s="57" t="str">
        <f>HYPERLINK("http://prodenv.dep.state.fl.us/DepNexus/public/electronic-documents/OG_540/facility!search","OG_540_Docs")</f>
        <v>OG_540_Docs</v>
      </c>
      <c r="E553" s="57" t="str">
        <f>HYPERLINK("https://ca.dep.state.fl.us/mapdirect/?focus=oilandgas&amp;zoom=query&amp;querytype=oilandgas&amp;queryvalues=OG_540","OG_540_Map")</f>
        <v>OG_540_Map</v>
      </c>
      <c r="F553" s="1" t="s">
        <v>1797</v>
      </c>
      <c r="G553" s="1" t="s">
        <v>5133</v>
      </c>
      <c r="H553" s="1" t="s">
        <v>1363</v>
      </c>
      <c r="I553" s="1" t="s">
        <v>6894</v>
      </c>
      <c r="J553" s="17" t="s">
        <v>3646</v>
      </c>
      <c r="K553" s="17" t="s">
        <v>5525</v>
      </c>
      <c r="L553" s="17"/>
      <c r="M553" s="17"/>
      <c r="N553" s="52" t="s">
        <v>6895</v>
      </c>
      <c r="O553" s="17" t="s">
        <v>86</v>
      </c>
      <c r="P553" s="17" t="s">
        <v>86</v>
      </c>
      <c r="Q553" s="81" t="s">
        <v>6896</v>
      </c>
      <c r="R553" s="11">
        <v>30.94857</v>
      </c>
      <c r="S553" s="11">
        <v>-87.166973999999996</v>
      </c>
      <c r="T553" s="11" t="s">
        <v>6897</v>
      </c>
      <c r="U553" s="11" t="s">
        <v>6898</v>
      </c>
      <c r="V553" s="17" t="s">
        <v>6899</v>
      </c>
      <c r="W553" s="17" t="s">
        <v>110</v>
      </c>
      <c r="X553" s="70">
        <v>288.8</v>
      </c>
      <c r="Y553" s="70">
        <v>268</v>
      </c>
      <c r="Z553" s="13">
        <v>26281</v>
      </c>
      <c r="AA553" s="13">
        <v>26346</v>
      </c>
      <c r="AB553" s="13">
        <v>26431</v>
      </c>
      <c r="AC553" s="13"/>
      <c r="AD553" s="86">
        <v>15948</v>
      </c>
      <c r="AE553" s="86">
        <v>15948</v>
      </c>
      <c r="AF553" s="70" t="s">
        <v>6711</v>
      </c>
      <c r="AG553" s="17" t="s">
        <v>6900</v>
      </c>
      <c r="AH553" s="17" t="s">
        <v>94</v>
      </c>
      <c r="AI553" s="70" t="s">
        <v>6901</v>
      </c>
      <c r="AJ553" s="17" t="s">
        <v>6902</v>
      </c>
      <c r="AK553" s="17" t="s">
        <v>94</v>
      </c>
      <c r="AL553" s="17" t="s">
        <v>6903</v>
      </c>
      <c r="AM553" s="17" t="s">
        <v>95</v>
      </c>
      <c r="AN553" s="17" t="s">
        <v>86</v>
      </c>
      <c r="AO553" s="17" t="s">
        <v>6904</v>
      </c>
      <c r="AP553" s="17" t="s">
        <v>6905</v>
      </c>
      <c r="AQ553" s="17" t="s">
        <v>94</v>
      </c>
      <c r="AR553" s="17" t="s">
        <v>6906</v>
      </c>
      <c r="AS553" s="17"/>
      <c r="AT553" s="17"/>
      <c r="AU553" s="30" t="s">
        <v>6907</v>
      </c>
      <c r="AV553" s="14">
        <v>11352</v>
      </c>
      <c r="AW553" s="74">
        <v>309882</v>
      </c>
      <c r="AX553" s="1"/>
      <c r="AY553" s="17" t="s">
        <v>101</v>
      </c>
    </row>
    <row r="554" spans="1:51" ht="15" customHeight="1" x14ac:dyDescent="0.25">
      <c r="A554" s="5">
        <v>541</v>
      </c>
      <c r="B554" s="9">
        <v>541</v>
      </c>
      <c r="C554" s="9" t="s">
        <v>6908</v>
      </c>
      <c r="D554" s="57" t="str">
        <f>HYPERLINK("http://prodenv.dep.state.fl.us/DepNexus/public/electronic-documents/OG_541/facility!search","OG_541_Docs")</f>
        <v>OG_541_Docs</v>
      </c>
      <c r="E554" s="57" t="str">
        <f>HYPERLINK("https://ca.dep.state.fl.us/mapdirect/?focus=oilandgas&amp;zoom=query&amp;querytype=oilandgas&amp;queryvalues=OG_541","OG_541_Map")</f>
        <v>OG_541_Map</v>
      </c>
      <c r="F554" s="1" t="s">
        <v>1797</v>
      </c>
      <c r="G554" s="1" t="s">
        <v>5133</v>
      </c>
      <c r="H554" s="1" t="s">
        <v>1363</v>
      </c>
      <c r="I554" s="1" t="s">
        <v>6909</v>
      </c>
      <c r="J554" s="17" t="s">
        <v>5135</v>
      </c>
      <c r="K554" s="17" t="s">
        <v>4266</v>
      </c>
      <c r="L554" s="17"/>
      <c r="M554" s="17"/>
      <c r="N554" s="52" t="s">
        <v>6470</v>
      </c>
      <c r="O554" s="17" t="s">
        <v>86</v>
      </c>
      <c r="P554" s="17" t="s">
        <v>86</v>
      </c>
      <c r="Q554" s="81" t="s">
        <v>6910</v>
      </c>
      <c r="R554" s="11">
        <v>30.963576</v>
      </c>
      <c r="S554" s="11">
        <v>-87.192194000000001</v>
      </c>
      <c r="T554" s="11" t="s">
        <v>6911</v>
      </c>
      <c r="U554" s="11" t="s">
        <v>6912</v>
      </c>
      <c r="V554" s="17" t="s">
        <v>6913</v>
      </c>
      <c r="W554" s="17" t="s">
        <v>110</v>
      </c>
      <c r="X554" s="70">
        <v>159.9</v>
      </c>
      <c r="Y554" s="70">
        <v>143.4</v>
      </c>
      <c r="Z554" s="13">
        <v>26302</v>
      </c>
      <c r="AA554" s="13">
        <v>26461</v>
      </c>
      <c r="AB554" s="13">
        <v>26572</v>
      </c>
      <c r="AC554" s="13"/>
      <c r="AD554" s="86">
        <v>15805</v>
      </c>
      <c r="AE554" s="86">
        <v>15805</v>
      </c>
      <c r="AF554" s="70" t="s">
        <v>6914</v>
      </c>
      <c r="AG554" s="17" t="s">
        <v>6915</v>
      </c>
      <c r="AH554" s="17" t="s">
        <v>94</v>
      </c>
      <c r="AI554" s="70" t="s">
        <v>6916</v>
      </c>
      <c r="AJ554" s="17" t="s">
        <v>6917</v>
      </c>
      <c r="AK554" s="17" t="s">
        <v>94</v>
      </c>
      <c r="AL554" s="17" t="s">
        <v>6918</v>
      </c>
      <c r="AM554" s="17" t="s">
        <v>94</v>
      </c>
      <c r="AN554" s="17" t="s">
        <v>825</v>
      </c>
      <c r="AO554" s="17" t="s">
        <v>6919</v>
      </c>
      <c r="AP554" s="17" t="s">
        <v>6920</v>
      </c>
      <c r="AQ554" s="17" t="s">
        <v>94</v>
      </c>
      <c r="AR554" s="17" t="s">
        <v>6921</v>
      </c>
      <c r="AS554" s="17"/>
      <c r="AT554" s="17"/>
      <c r="AU554" s="30" t="s">
        <v>6922</v>
      </c>
      <c r="AV554" s="14">
        <v>11437</v>
      </c>
      <c r="AW554" s="74">
        <v>311589</v>
      </c>
      <c r="AX554" s="1" t="s">
        <v>6923</v>
      </c>
      <c r="AY554" s="17" t="s">
        <v>101</v>
      </c>
    </row>
    <row r="555" spans="1:51" ht="15" customHeight="1" x14ac:dyDescent="0.25">
      <c r="A555" s="5">
        <v>542</v>
      </c>
      <c r="B555" s="9">
        <v>542</v>
      </c>
      <c r="C555" s="9" t="s">
        <v>6924</v>
      </c>
      <c r="D555" s="57" t="str">
        <f>HYPERLINK("http://prodenv.dep.state.fl.us/DepNexus/public/electronic-documents/OG_542/facility!search","OG_542_Docs")</f>
        <v>OG_542_Docs</v>
      </c>
      <c r="E555" s="57" t="str">
        <f>HYPERLINK("https://ca.dep.state.fl.us/mapdirect/?focus=oilandgas&amp;zoom=query&amp;querytype=oilandgas&amp;queryvalues=OG_542","OG_542_Map")</f>
        <v>OG_542_Map</v>
      </c>
      <c r="F555" s="1" t="s">
        <v>2026</v>
      </c>
      <c r="G555" s="1" t="s">
        <v>79</v>
      </c>
      <c r="H555" s="1" t="s">
        <v>176</v>
      </c>
      <c r="I555" s="1" t="s">
        <v>6925</v>
      </c>
      <c r="J555" s="17" t="s">
        <v>207</v>
      </c>
      <c r="K555" s="17" t="s">
        <v>208</v>
      </c>
      <c r="L555" s="17"/>
      <c r="M555" s="17" t="s">
        <v>207</v>
      </c>
      <c r="N555" s="52" t="s">
        <v>86</v>
      </c>
      <c r="O555" s="17" t="s">
        <v>86</v>
      </c>
      <c r="P555" s="17" t="s">
        <v>86</v>
      </c>
      <c r="Q555" s="81" t="s">
        <v>6926</v>
      </c>
      <c r="R555" s="11">
        <v>26.616402000000001</v>
      </c>
      <c r="S555" s="11">
        <v>-81.754198000000002</v>
      </c>
      <c r="T555" s="11" t="s">
        <v>6927</v>
      </c>
      <c r="U555" s="11" t="s">
        <v>6928</v>
      </c>
      <c r="V555" s="17" t="s">
        <v>6929</v>
      </c>
      <c r="W555" s="17" t="s">
        <v>110</v>
      </c>
      <c r="X555" s="70"/>
      <c r="Y555" s="70"/>
      <c r="Z555" s="13">
        <v>26302</v>
      </c>
      <c r="AA555" s="13"/>
      <c r="AB555" s="13"/>
      <c r="AC555" s="13"/>
      <c r="AD555" s="86"/>
      <c r="AE555" s="70"/>
      <c r="AF555" s="70" t="s">
        <v>207</v>
      </c>
      <c r="AG555" s="14" t="s">
        <v>207</v>
      </c>
      <c r="AH555" s="14" t="s">
        <v>207</v>
      </c>
      <c r="AI555" s="70" t="s">
        <v>207</v>
      </c>
      <c r="AJ555" s="14" t="s">
        <v>207</v>
      </c>
      <c r="AK555" s="14" t="s">
        <v>207</v>
      </c>
      <c r="AL555" s="14" t="s">
        <v>207</v>
      </c>
      <c r="AM555" s="14" t="s">
        <v>207</v>
      </c>
      <c r="AN555" s="14" t="s">
        <v>207</v>
      </c>
      <c r="AO555" s="14" t="s">
        <v>207</v>
      </c>
      <c r="AP555" s="14" t="s">
        <v>207</v>
      </c>
      <c r="AQ555" s="14" t="s">
        <v>207</v>
      </c>
      <c r="AR555" s="14" t="s">
        <v>207</v>
      </c>
      <c r="AS555" s="14" t="s">
        <v>207</v>
      </c>
      <c r="AT555" s="14" t="s">
        <v>207</v>
      </c>
      <c r="AU555" s="30" t="s">
        <v>6930</v>
      </c>
      <c r="AV555" s="14" t="s">
        <v>207</v>
      </c>
      <c r="AW555" s="74"/>
      <c r="AX555" s="1"/>
      <c r="AY555" s="17" t="s">
        <v>101</v>
      </c>
    </row>
    <row r="556" spans="1:51" ht="12.75" customHeight="1" x14ac:dyDescent="0.25">
      <c r="A556" s="5">
        <v>543</v>
      </c>
      <c r="B556" s="9">
        <v>543</v>
      </c>
      <c r="C556" s="9" t="s">
        <v>6931</v>
      </c>
      <c r="D556" s="57" t="str">
        <f>HYPERLINK("http://prodenv.dep.state.fl.us/DepNexus/public/electronic-documents/OG_543/facility!search","OG_543_Docs")</f>
        <v>OG_543_Docs</v>
      </c>
      <c r="E556" s="57" t="str">
        <f>HYPERLINK("https://ca.dep.state.fl.us/mapdirect/?focus=oilandgas&amp;zoom=query&amp;querytype=oilandgas&amp;queryvalues=OG_543","OG_543_Map")</f>
        <v>OG_543_Map</v>
      </c>
      <c r="F556" s="1" t="s">
        <v>175</v>
      </c>
      <c r="G556" s="1" t="s">
        <v>79</v>
      </c>
      <c r="H556" s="1" t="s">
        <v>6881</v>
      </c>
      <c r="I556" s="1" t="s">
        <v>6932</v>
      </c>
      <c r="J556" s="17" t="s">
        <v>82</v>
      </c>
      <c r="K556" s="17" t="s">
        <v>83</v>
      </c>
      <c r="L556" s="17"/>
      <c r="M556" s="17" t="s">
        <v>101</v>
      </c>
      <c r="N556" s="52" t="s">
        <v>6933</v>
      </c>
      <c r="O556" s="17" t="s">
        <v>86</v>
      </c>
      <c r="P556" s="17" t="s">
        <v>86</v>
      </c>
      <c r="Q556" s="81" t="s">
        <v>6934</v>
      </c>
      <c r="R556" s="11">
        <v>28.118798000000002</v>
      </c>
      <c r="S556" s="11">
        <v>-81.369912999999997</v>
      </c>
      <c r="T556" s="11" t="s">
        <v>6935</v>
      </c>
      <c r="U556" s="11" t="s">
        <v>6936</v>
      </c>
      <c r="V556" s="17" t="s">
        <v>6937</v>
      </c>
      <c r="W556" s="17" t="s">
        <v>110</v>
      </c>
      <c r="X556" s="70">
        <v>79</v>
      </c>
      <c r="Y556" s="70">
        <v>60</v>
      </c>
      <c r="Z556" s="13">
        <v>26302</v>
      </c>
      <c r="AA556" s="13">
        <v>26391</v>
      </c>
      <c r="AB556" s="13">
        <v>26412</v>
      </c>
      <c r="AC556" s="13">
        <v>26412</v>
      </c>
      <c r="AD556" s="86">
        <v>6900</v>
      </c>
      <c r="AE556" s="86">
        <v>6900</v>
      </c>
      <c r="AF556" s="70" t="s">
        <v>6938</v>
      </c>
      <c r="AG556" s="17" t="s">
        <v>6939</v>
      </c>
      <c r="AH556" s="17" t="s">
        <v>6940</v>
      </c>
      <c r="AI556" s="70" t="s">
        <v>94</v>
      </c>
      <c r="AJ556" s="17" t="s">
        <v>94</v>
      </c>
      <c r="AK556" s="17" t="s">
        <v>95</v>
      </c>
      <c r="AL556" s="17" t="s">
        <v>825</v>
      </c>
      <c r="AM556" s="17" t="s">
        <v>825</v>
      </c>
      <c r="AN556" s="17" t="s">
        <v>86</v>
      </c>
      <c r="AO556" s="17" t="s">
        <v>98</v>
      </c>
      <c r="AP556" s="17" t="s">
        <v>98</v>
      </c>
      <c r="AQ556" s="17" t="s">
        <v>98</v>
      </c>
      <c r="AR556" s="17" t="s">
        <v>94</v>
      </c>
      <c r="AS556" s="17" t="s">
        <v>6941</v>
      </c>
      <c r="AT556" s="17">
        <v>128</v>
      </c>
      <c r="AU556" s="30" t="s">
        <v>6942</v>
      </c>
      <c r="AV556" s="14">
        <v>11341</v>
      </c>
      <c r="AW556" s="74"/>
      <c r="AX556" s="1"/>
      <c r="AY556" s="17" t="s">
        <v>101</v>
      </c>
    </row>
    <row r="557" spans="1:51" ht="12.75" customHeight="1" x14ac:dyDescent="0.25">
      <c r="A557" s="5">
        <v>544</v>
      </c>
      <c r="B557" s="9">
        <v>544</v>
      </c>
      <c r="C557" s="9" t="s">
        <v>6943</v>
      </c>
      <c r="D557" s="57" t="str">
        <f>HYPERLINK("http://prodenv.dep.state.fl.us/DepNexus/public/electronic-documents/OG_544/facility!search","OG_544_Docs")</f>
        <v>OG_544_Docs</v>
      </c>
      <c r="E557" s="57" t="str">
        <f>HYPERLINK("https://ca.dep.state.fl.us/mapdirect/?focus=oilandgas&amp;zoom=query&amp;querytype=oilandgas&amp;queryvalues=OG_544","OG_544_Map")</f>
        <v>OG_544_Map</v>
      </c>
      <c r="F557" s="1" t="s">
        <v>2026</v>
      </c>
      <c r="G557" s="1" t="s">
        <v>79</v>
      </c>
      <c r="H557" s="1" t="s">
        <v>176</v>
      </c>
      <c r="I557" s="1" t="s">
        <v>6944</v>
      </c>
      <c r="J557" s="17" t="s">
        <v>82</v>
      </c>
      <c r="K557" s="17" t="s">
        <v>83</v>
      </c>
      <c r="L557" s="17"/>
      <c r="M557" s="17"/>
      <c r="N557" s="52" t="s">
        <v>6945</v>
      </c>
      <c r="O557" s="17" t="s">
        <v>86</v>
      </c>
      <c r="P557" s="17" t="s">
        <v>86</v>
      </c>
      <c r="Q557" s="81" t="s">
        <v>6946</v>
      </c>
      <c r="R557" s="11">
        <v>26.618182999999998</v>
      </c>
      <c r="S557" s="11">
        <v>-81.746740000000003</v>
      </c>
      <c r="T557" s="11" t="s">
        <v>6947</v>
      </c>
      <c r="U557" s="11" t="s">
        <v>6948</v>
      </c>
      <c r="V557" s="17" t="s">
        <v>6949</v>
      </c>
      <c r="W557" s="17" t="s">
        <v>110</v>
      </c>
      <c r="X557" s="70">
        <v>40.299999999999997</v>
      </c>
      <c r="Y557" s="70">
        <v>24.7</v>
      </c>
      <c r="Z557" s="13">
        <v>26323</v>
      </c>
      <c r="AA557" s="13">
        <v>26332</v>
      </c>
      <c r="AB557" s="13"/>
      <c r="AC557" s="13">
        <v>26387</v>
      </c>
      <c r="AD557" s="86">
        <v>11660</v>
      </c>
      <c r="AE557" s="86">
        <v>11660</v>
      </c>
      <c r="AF557" s="70" t="s">
        <v>5941</v>
      </c>
      <c r="AG557" s="17" t="s">
        <v>6950</v>
      </c>
      <c r="AH557" s="17" t="s">
        <v>6951</v>
      </c>
      <c r="AI557" s="70" t="s">
        <v>5388</v>
      </c>
      <c r="AJ557" s="17" t="s">
        <v>94</v>
      </c>
      <c r="AK557" s="17" t="s">
        <v>95</v>
      </c>
      <c r="AL557" s="17" t="s">
        <v>6952</v>
      </c>
      <c r="AM557" s="17" t="s">
        <v>95</v>
      </c>
      <c r="AN557" s="17" t="s">
        <v>94</v>
      </c>
      <c r="AO557" s="17" t="s">
        <v>98</v>
      </c>
      <c r="AP557" s="17" t="s">
        <v>98</v>
      </c>
      <c r="AQ557" s="17" t="s">
        <v>98</v>
      </c>
      <c r="AR557" s="17" t="s">
        <v>94</v>
      </c>
      <c r="AS557" s="17" t="s">
        <v>6953</v>
      </c>
      <c r="AT557" s="17"/>
      <c r="AU557" s="30" t="s">
        <v>6954</v>
      </c>
      <c r="AV557" s="14">
        <v>11505</v>
      </c>
      <c r="AW557" s="74"/>
      <c r="AX557" s="1"/>
      <c r="AY557" s="17" t="s">
        <v>101</v>
      </c>
    </row>
    <row r="558" spans="1:51" ht="12.75" customHeight="1" x14ac:dyDescent="0.25">
      <c r="A558" s="5">
        <v>545</v>
      </c>
      <c r="B558" s="9">
        <v>545</v>
      </c>
      <c r="C558" s="9" t="s">
        <v>6955</v>
      </c>
      <c r="D558" s="57" t="str">
        <f>HYPERLINK("http://prodenv.dep.state.fl.us/DepNexus/public/electronic-documents/OG_545/facility!search","OG_545_Docs")</f>
        <v>OG_545_Docs</v>
      </c>
      <c r="E558" s="57" t="str">
        <f>HYPERLINK("https://ca.dep.state.fl.us/mapdirect/?focus=oilandgas&amp;zoom=query&amp;querytype=oilandgas&amp;queryvalues=OG_545","OG_545_Map")</f>
        <v>OG_545_Map</v>
      </c>
      <c r="F558" s="1" t="s">
        <v>1797</v>
      </c>
      <c r="G558" s="1" t="s">
        <v>6648</v>
      </c>
      <c r="H558" s="1" t="s">
        <v>6668</v>
      </c>
      <c r="I558" s="1" t="s">
        <v>6956</v>
      </c>
      <c r="J558" s="17" t="s">
        <v>1476</v>
      </c>
      <c r="K558" s="17" t="s">
        <v>412</v>
      </c>
      <c r="L558" s="17"/>
      <c r="M558" s="17"/>
      <c r="N558" s="52" t="s">
        <v>6957</v>
      </c>
      <c r="O558" s="17" t="s">
        <v>86</v>
      </c>
      <c r="P558" s="17" t="s">
        <v>86</v>
      </c>
      <c r="Q558" s="81" t="s">
        <v>6958</v>
      </c>
      <c r="R558" s="11">
        <v>30.853169999999999</v>
      </c>
      <c r="S558" s="11">
        <v>-87.112917999999993</v>
      </c>
      <c r="T558" s="11" t="s">
        <v>6959</v>
      </c>
      <c r="U558" s="11" t="s">
        <v>6960</v>
      </c>
      <c r="V558" s="17" t="s">
        <v>6961</v>
      </c>
      <c r="W558" s="17" t="s">
        <v>110</v>
      </c>
      <c r="X558" s="70">
        <v>159.19999999999999</v>
      </c>
      <c r="Y558" s="70">
        <v>133.5</v>
      </c>
      <c r="Z558" s="13">
        <v>26323</v>
      </c>
      <c r="AA558" s="13">
        <v>26351</v>
      </c>
      <c r="AB558" s="13">
        <v>26474</v>
      </c>
      <c r="AC558" s="13">
        <v>45949</v>
      </c>
      <c r="AD558" s="86">
        <v>16220</v>
      </c>
      <c r="AE558" s="86">
        <v>16220</v>
      </c>
      <c r="AF558" s="70" t="s">
        <v>6962</v>
      </c>
      <c r="AG558" s="17" t="s">
        <v>6963</v>
      </c>
      <c r="AH558" s="17" t="s">
        <v>94</v>
      </c>
      <c r="AI558" s="70" t="s">
        <v>6964</v>
      </c>
      <c r="AJ558" s="17" t="s">
        <v>6965</v>
      </c>
      <c r="AK558" s="17" t="s">
        <v>95</v>
      </c>
      <c r="AL558" s="17" t="s">
        <v>6966</v>
      </c>
      <c r="AM558" s="17" t="s">
        <v>95</v>
      </c>
      <c r="AN558" s="17" t="s">
        <v>94</v>
      </c>
      <c r="AO558" s="17" t="s">
        <v>6967</v>
      </c>
      <c r="AP558" s="17" t="s">
        <v>6968</v>
      </c>
      <c r="AQ558" s="17" t="s">
        <v>6969</v>
      </c>
      <c r="AR558" s="17" t="s">
        <v>6970</v>
      </c>
      <c r="AS558" s="17" t="s">
        <v>6971</v>
      </c>
      <c r="AT558" s="17"/>
      <c r="AU558" s="30" t="s">
        <v>6972</v>
      </c>
      <c r="AV558" s="14">
        <v>11350</v>
      </c>
      <c r="AW558" s="74">
        <v>302385</v>
      </c>
      <c r="AX558" s="1"/>
      <c r="AY558" s="17" t="s">
        <v>101</v>
      </c>
    </row>
    <row r="559" spans="1:51" ht="15" customHeight="1" x14ac:dyDescent="0.25">
      <c r="A559" s="5">
        <v>546</v>
      </c>
      <c r="B559" s="9">
        <v>546</v>
      </c>
      <c r="C559" s="9" t="s">
        <v>6973</v>
      </c>
      <c r="D559" s="57" t="str">
        <f>HYPERLINK("http://prodenv.dep.state.fl.us/DepNexus/public/electronic-documents/OG_546/facility!search","OG_546_Docs")</f>
        <v>OG_546_Docs</v>
      </c>
      <c r="E559" s="57" t="str">
        <f>HYPERLINK("https://ca.dep.state.fl.us/mapdirect/?focus=oilandgas&amp;zoom=query&amp;querytype=oilandgas&amp;queryvalues=OG_546","OG_546_Map")</f>
        <v>OG_546_Map</v>
      </c>
      <c r="F559" s="1" t="s">
        <v>1797</v>
      </c>
      <c r="G559" s="1" t="s">
        <v>5133</v>
      </c>
      <c r="H559" s="1" t="s">
        <v>1363</v>
      </c>
      <c r="I559" s="1" t="s">
        <v>6974</v>
      </c>
      <c r="J559" s="17" t="s">
        <v>3646</v>
      </c>
      <c r="K559" s="17" t="s">
        <v>412</v>
      </c>
      <c r="L559" s="17"/>
      <c r="M559" s="17"/>
      <c r="N559" s="52" t="s">
        <v>6975</v>
      </c>
      <c r="O559" s="17" t="s">
        <v>86</v>
      </c>
      <c r="P559" s="17" t="s">
        <v>86</v>
      </c>
      <c r="Q559" s="81" t="s">
        <v>3661</v>
      </c>
      <c r="R559" s="11">
        <v>30.943974000000001</v>
      </c>
      <c r="S559" s="11">
        <v>-87.145218</v>
      </c>
      <c r="T559" s="11" t="s">
        <v>6976</v>
      </c>
      <c r="U559" s="11" t="s">
        <v>6977</v>
      </c>
      <c r="V559" s="17" t="s">
        <v>6978</v>
      </c>
      <c r="W559" s="17" t="s">
        <v>110</v>
      </c>
      <c r="X559" s="70">
        <v>271</v>
      </c>
      <c r="Y559" s="70">
        <v>253</v>
      </c>
      <c r="Z559" s="13">
        <v>26323</v>
      </c>
      <c r="AA559" s="13">
        <v>26351</v>
      </c>
      <c r="AB559" s="13">
        <v>26493</v>
      </c>
      <c r="AC559" s="13"/>
      <c r="AD559" s="86">
        <v>15900</v>
      </c>
      <c r="AE559" s="86">
        <v>15900</v>
      </c>
      <c r="AF559" s="70" t="s">
        <v>6979</v>
      </c>
      <c r="AG559" s="17" t="s">
        <v>6980</v>
      </c>
      <c r="AH559" s="17" t="s">
        <v>94</v>
      </c>
      <c r="AI559" s="70" t="s">
        <v>6981</v>
      </c>
      <c r="AJ559" s="17" t="s">
        <v>6982</v>
      </c>
      <c r="AK559" s="17" t="s">
        <v>95</v>
      </c>
      <c r="AL559" s="17" t="s">
        <v>6983</v>
      </c>
      <c r="AM559" s="17" t="s">
        <v>95</v>
      </c>
      <c r="AN559" s="17" t="s">
        <v>94</v>
      </c>
      <c r="AO559" s="17" t="s">
        <v>6984</v>
      </c>
      <c r="AP559" s="17" t="s">
        <v>6985</v>
      </c>
      <c r="AQ559" s="17" t="s">
        <v>86</v>
      </c>
      <c r="AR559" s="17" t="s">
        <v>6986</v>
      </c>
      <c r="AS559" s="17"/>
      <c r="AT559" s="17">
        <v>258</v>
      </c>
      <c r="AU559" s="30" t="s">
        <v>6987</v>
      </c>
      <c r="AV559" s="14">
        <v>11344</v>
      </c>
      <c r="AW559" s="74">
        <v>309883</v>
      </c>
      <c r="AX559" s="1"/>
      <c r="AY559" s="17" t="s">
        <v>101</v>
      </c>
    </row>
    <row r="560" spans="1:51" ht="15" customHeight="1" x14ac:dyDescent="0.25">
      <c r="A560" s="5">
        <v>547</v>
      </c>
      <c r="B560" s="9">
        <v>547</v>
      </c>
      <c r="C560" s="9" t="s">
        <v>6988</v>
      </c>
      <c r="D560" s="57" t="str">
        <f>HYPERLINK("http://prodenv.dep.state.fl.us/DepNexus/public/electronic-documents/OG_547/facility!search","OG_547_Docs")</f>
        <v>OG_547_Docs</v>
      </c>
      <c r="E560" s="57" t="str">
        <f>HYPERLINK("https://ca.dep.state.fl.us/mapdirect/?focus=oilandgas&amp;zoom=query&amp;querytype=oilandgas&amp;queryvalues=OG_547","OG_547_Map")</f>
        <v>OG_547_Map</v>
      </c>
      <c r="F560" s="1" t="s">
        <v>1797</v>
      </c>
      <c r="G560" s="1" t="s">
        <v>1798</v>
      </c>
      <c r="H560" s="1" t="s">
        <v>5605</v>
      </c>
      <c r="I560" s="1" t="s">
        <v>6989</v>
      </c>
      <c r="J560" s="17" t="s">
        <v>82</v>
      </c>
      <c r="K560" s="17" t="s">
        <v>83</v>
      </c>
      <c r="L560" s="17"/>
      <c r="M560" s="17"/>
      <c r="N560" s="52" t="s">
        <v>6529</v>
      </c>
      <c r="O560" s="17" t="s">
        <v>86</v>
      </c>
      <c r="P560" s="17" t="s">
        <v>86</v>
      </c>
      <c r="Q560" s="81" t="s">
        <v>6990</v>
      </c>
      <c r="R560" s="11">
        <v>30.963470999999998</v>
      </c>
      <c r="S560" s="11">
        <v>-87.117889000000005</v>
      </c>
      <c r="T560" s="11" t="s">
        <v>6991</v>
      </c>
      <c r="U560" s="11" t="s">
        <v>6992</v>
      </c>
      <c r="V560" s="17" t="s">
        <v>6993</v>
      </c>
      <c r="W560" s="17" t="s">
        <v>110</v>
      </c>
      <c r="X560" s="70">
        <v>274.20999999999998</v>
      </c>
      <c r="Y560" s="70">
        <v>253.21</v>
      </c>
      <c r="Z560" s="13">
        <v>26323</v>
      </c>
      <c r="AA560" s="13">
        <v>26345</v>
      </c>
      <c r="AB560" s="13"/>
      <c r="AC560" s="13">
        <v>26444</v>
      </c>
      <c r="AD560" s="86">
        <v>15584</v>
      </c>
      <c r="AE560" s="86">
        <v>15584</v>
      </c>
      <c r="AF560" s="70" t="s">
        <v>6994</v>
      </c>
      <c r="AG560" s="17" t="s">
        <v>6995</v>
      </c>
      <c r="AH560" s="17" t="s">
        <v>94</v>
      </c>
      <c r="AI560" s="70" t="s">
        <v>94</v>
      </c>
      <c r="AJ560" s="17" t="s">
        <v>94</v>
      </c>
      <c r="AK560" s="17" t="s">
        <v>95</v>
      </c>
      <c r="AL560" s="17" t="s">
        <v>6996</v>
      </c>
      <c r="AM560" s="17" t="s">
        <v>95</v>
      </c>
      <c r="AN560" s="17" t="s">
        <v>94</v>
      </c>
      <c r="AO560" s="17" t="s">
        <v>98</v>
      </c>
      <c r="AP560" s="17" t="s">
        <v>98</v>
      </c>
      <c r="AQ560" s="17" t="s">
        <v>98</v>
      </c>
      <c r="AR560" s="17" t="s">
        <v>94</v>
      </c>
      <c r="AS560" s="17" t="s">
        <v>6997</v>
      </c>
      <c r="AT560" s="17"/>
      <c r="AU560" s="30" t="s">
        <v>6998</v>
      </c>
      <c r="AV560" s="14">
        <v>11381</v>
      </c>
      <c r="AW560" s="74"/>
      <c r="AX560" s="1"/>
      <c r="AY560" s="17" t="s">
        <v>101</v>
      </c>
    </row>
    <row r="561" spans="1:51" ht="12.75" customHeight="1" x14ac:dyDescent="0.25">
      <c r="A561" s="5">
        <v>548</v>
      </c>
      <c r="B561" s="9">
        <v>548</v>
      </c>
      <c r="C561" s="9" t="s">
        <v>6999</v>
      </c>
      <c r="D561" s="57" t="str">
        <f>HYPERLINK("http://prodenv.dep.state.fl.us/DepNexus/public/electronic-documents/OG_548/facility!search","OG_548_Docs")</f>
        <v>OG_548_Docs</v>
      </c>
      <c r="E561" s="57" t="str">
        <f>HYPERLINK("https://ca.dep.state.fl.us/mapdirect/?focus=oilandgas&amp;zoom=query&amp;querytype=oilandgas&amp;queryvalues=OG_548","OG_548_Map")</f>
        <v>OG_548_Map</v>
      </c>
      <c r="F561" s="1" t="s">
        <v>1797</v>
      </c>
      <c r="G561" s="1" t="s">
        <v>5133</v>
      </c>
      <c r="H561" s="1" t="s">
        <v>1363</v>
      </c>
      <c r="I561" s="1" t="s">
        <v>7000</v>
      </c>
      <c r="J561" s="17" t="s">
        <v>3646</v>
      </c>
      <c r="K561" s="17" t="s">
        <v>412</v>
      </c>
      <c r="L561" s="17"/>
      <c r="M561" s="17"/>
      <c r="N561" s="52" t="s">
        <v>6046</v>
      </c>
      <c r="O561" s="17" t="s">
        <v>86</v>
      </c>
      <c r="P561" s="17" t="s">
        <v>86</v>
      </c>
      <c r="Q561" s="81" t="s">
        <v>7001</v>
      </c>
      <c r="R561" s="11">
        <v>30.957657000000001</v>
      </c>
      <c r="S561" s="11">
        <v>-87.153259000000006</v>
      </c>
      <c r="T561" s="11" t="s">
        <v>7002</v>
      </c>
      <c r="U561" s="11" t="s">
        <v>7003</v>
      </c>
      <c r="V561" s="17" t="s">
        <v>7004</v>
      </c>
      <c r="W561" s="17" t="s">
        <v>110</v>
      </c>
      <c r="X561" s="70">
        <v>272.57</v>
      </c>
      <c r="Y561" s="70">
        <v>247.57</v>
      </c>
      <c r="Z561" s="13">
        <v>26329</v>
      </c>
      <c r="AA561" s="13">
        <v>26345</v>
      </c>
      <c r="AB561" s="13">
        <v>26535</v>
      </c>
      <c r="AC561" s="13"/>
      <c r="AD561" s="86">
        <v>15804</v>
      </c>
      <c r="AE561" s="86">
        <v>15804</v>
      </c>
      <c r="AF561" s="70" t="s">
        <v>7005</v>
      </c>
      <c r="AG561" s="17" t="s">
        <v>7006</v>
      </c>
      <c r="AH561" s="17" t="s">
        <v>94</v>
      </c>
      <c r="AI561" s="70" t="s">
        <v>7007</v>
      </c>
      <c r="AJ561" s="17" t="s">
        <v>7008</v>
      </c>
      <c r="AK561" s="17" t="s">
        <v>94</v>
      </c>
      <c r="AL561" s="17" t="s">
        <v>7009</v>
      </c>
      <c r="AM561" s="17" t="s">
        <v>95</v>
      </c>
      <c r="AN561" s="17" t="s">
        <v>94</v>
      </c>
      <c r="AO561" s="17" t="s">
        <v>7010</v>
      </c>
      <c r="AP561" s="17" t="s">
        <v>7011</v>
      </c>
      <c r="AQ561" s="17" t="s">
        <v>5243</v>
      </c>
      <c r="AR561" s="17" t="s">
        <v>7012</v>
      </c>
      <c r="AS561" s="17"/>
      <c r="AT561" s="17"/>
      <c r="AU561" s="30" t="s">
        <v>7013</v>
      </c>
      <c r="AV561" s="14">
        <v>11347</v>
      </c>
      <c r="AW561" s="74">
        <v>309884</v>
      </c>
      <c r="AX561" s="1"/>
      <c r="AY561" s="17" t="s">
        <v>101</v>
      </c>
    </row>
    <row r="562" spans="1:51" ht="15" customHeight="1" x14ac:dyDescent="0.25">
      <c r="A562" s="5">
        <v>549</v>
      </c>
      <c r="B562" s="9">
        <v>549</v>
      </c>
      <c r="C562" s="9" t="s">
        <v>7014</v>
      </c>
      <c r="D562" s="57" t="str">
        <f>HYPERLINK("http://prodenv.dep.state.fl.us/DepNexus/public/electronic-documents/OG_549/facility!search","OG_549_Docs")</f>
        <v>OG_549_Docs</v>
      </c>
      <c r="E562" s="57" t="str">
        <f>HYPERLINK("https://ca.dep.state.fl.us/mapdirect/?focus=oilandgas&amp;zoom=query&amp;querytype=oilandgas&amp;queryvalues=OG_549","OG_549_Map")</f>
        <v>OG_549_Map</v>
      </c>
      <c r="F562" s="1" t="s">
        <v>971</v>
      </c>
      <c r="G562" s="1" t="s">
        <v>79</v>
      </c>
      <c r="H562" s="1" t="s">
        <v>7015</v>
      </c>
      <c r="I562" s="1" t="s">
        <v>7016</v>
      </c>
      <c r="J562" s="17" t="s">
        <v>82</v>
      </c>
      <c r="K562" s="17" t="s">
        <v>83</v>
      </c>
      <c r="L562" s="17"/>
      <c r="M562" s="17"/>
      <c r="N562" s="52" t="s">
        <v>4735</v>
      </c>
      <c r="O562" s="17" t="s">
        <v>86</v>
      </c>
      <c r="P562" s="17" t="s">
        <v>86</v>
      </c>
      <c r="Q562" s="81" t="s">
        <v>7017</v>
      </c>
      <c r="R562" s="11">
        <v>30.457592000000002</v>
      </c>
      <c r="S562" s="11">
        <v>-85.752643000000006</v>
      </c>
      <c r="T562" s="11" t="s">
        <v>7018</v>
      </c>
      <c r="U562" s="11" t="s">
        <v>7019</v>
      </c>
      <c r="V562" s="17" t="s">
        <v>7020</v>
      </c>
      <c r="W562" s="17" t="s">
        <v>110</v>
      </c>
      <c r="X562" s="70">
        <v>127.6</v>
      </c>
      <c r="Y562" s="70">
        <v>105.6</v>
      </c>
      <c r="Z562" s="13">
        <v>26329</v>
      </c>
      <c r="AA562" s="13">
        <v>26406</v>
      </c>
      <c r="AB562" s="13"/>
      <c r="AC562" s="13">
        <v>26432</v>
      </c>
      <c r="AD562" s="86">
        <v>11692</v>
      </c>
      <c r="AE562" s="86">
        <v>11692</v>
      </c>
      <c r="AF562" s="70" t="s">
        <v>6224</v>
      </c>
      <c r="AG562" s="17" t="s">
        <v>4933</v>
      </c>
      <c r="AH562" s="17" t="s">
        <v>7021</v>
      </c>
      <c r="AI562" s="70" t="s">
        <v>94</v>
      </c>
      <c r="AJ562" s="17" t="s">
        <v>94</v>
      </c>
      <c r="AK562" s="17" t="s">
        <v>95</v>
      </c>
      <c r="AL562" s="17" t="s">
        <v>94</v>
      </c>
      <c r="AM562" s="17" t="s">
        <v>94</v>
      </c>
      <c r="AN562" s="17" t="s">
        <v>94</v>
      </c>
      <c r="AO562" s="17" t="s">
        <v>98</v>
      </c>
      <c r="AP562" s="17" t="s">
        <v>98</v>
      </c>
      <c r="AQ562" s="17" t="s">
        <v>98</v>
      </c>
      <c r="AR562" s="17" t="s">
        <v>94</v>
      </c>
      <c r="AS562" s="17" t="s">
        <v>7022</v>
      </c>
      <c r="AT562" s="17"/>
      <c r="AU562" s="30" t="s">
        <v>7023</v>
      </c>
      <c r="AV562" s="14">
        <v>11398</v>
      </c>
      <c r="AW562" s="74"/>
      <c r="AX562" s="1"/>
      <c r="AY562" s="17" t="s">
        <v>101</v>
      </c>
    </row>
    <row r="563" spans="1:51" ht="12.75" customHeight="1" x14ac:dyDescent="0.25">
      <c r="A563" s="5">
        <v>550</v>
      </c>
      <c r="B563" s="9">
        <v>550</v>
      </c>
      <c r="C563" s="9" t="s">
        <v>7024</v>
      </c>
      <c r="D563" s="57" t="str">
        <f>HYPERLINK("http://prodenv.dep.state.fl.us/DepNexus/public/electronic-documents/OG_550/facility!search","OG_550_Docs")</f>
        <v>OG_550_Docs</v>
      </c>
      <c r="E563" s="57" t="str">
        <f>HYPERLINK("https://ca.dep.state.fl.us/mapdirect/?focus=oilandgas&amp;zoom=query&amp;querytype=oilandgas&amp;queryvalues=OG_550","OG_550_Map")</f>
        <v>OG_550_Map</v>
      </c>
      <c r="F563" s="1" t="s">
        <v>1797</v>
      </c>
      <c r="G563" s="1" t="s">
        <v>5133</v>
      </c>
      <c r="H563" s="1" t="s">
        <v>1363</v>
      </c>
      <c r="I563" s="1" t="s">
        <v>7025</v>
      </c>
      <c r="J563" s="17" t="s">
        <v>1476</v>
      </c>
      <c r="K563" s="17" t="s">
        <v>5525</v>
      </c>
      <c r="L563" s="17"/>
      <c r="M563" s="17"/>
      <c r="N563" s="52" t="s">
        <v>7026</v>
      </c>
      <c r="O563" s="17" t="s">
        <v>86</v>
      </c>
      <c r="P563" s="17" t="s">
        <v>86</v>
      </c>
      <c r="Q563" s="81" t="s">
        <v>7027</v>
      </c>
      <c r="R563" s="11">
        <v>30.964096000000001</v>
      </c>
      <c r="S563" s="11">
        <v>-87.204086000000004</v>
      </c>
      <c r="T563" s="11" t="s">
        <v>7028</v>
      </c>
      <c r="U563" s="11" t="s">
        <v>7029</v>
      </c>
      <c r="V563" s="17" t="s">
        <v>7030</v>
      </c>
      <c r="W563" s="17" t="s">
        <v>110</v>
      </c>
      <c r="X563" s="70">
        <v>124.9</v>
      </c>
      <c r="Y563" s="70">
        <v>108.1</v>
      </c>
      <c r="Z563" s="13">
        <v>26329</v>
      </c>
      <c r="AA563" s="13">
        <v>26361</v>
      </c>
      <c r="AB563" s="13">
        <v>26584</v>
      </c>
      <c r="AC563" s="13">
        <v>45641</v>
      </c>
      <c r="AD563" s="86">
        <v>15958</v>
      </c>
      <c r="AE563" s="86">
        <v>15958</v>
      </c>
      <c r="AF563" s="70" t="s">
        <v>6962</v>
      </c>
      <c r="AG563" s="17" t="s">
        <v>7031</v>
      </c>
      <c r="AH563" s="17" t="s">
        <v>94</v>
      </c>
      <c r="AI563" s="70" t="s">
        <v>7032</v>
      </c>
      <c r="AJ563" s="17" t="s">
        <v>7033</v>
      </c>
      <c r="AK563" s="17" t="s">
        <v>94</v>
      </c>
      <c r="AL563" s="17" t="s">
        <v>7034</v>
      </c>
      <c r="AM563" s="17" t="s">
        <v>94</v>
      </c>
      <c r="AN563" s="17" t="s">
        <v>94</v>
      </c>
      <c r="AO563" s="17" t="s">
        <v>7035</v>
      </c>
      <c r="AP563" s="17" t="s">
        <v>7036</v>
      </c>
      <c r="AQ563" s="17" t="s">
        <v>5738</v>
      </c>
      <c r="AR563" s="17" t="s">
        <v>7037</v>
      </c>
      <c r="AS563" s="17" t="s">
        <v>7038</v>
      </c>
      <c r="AT563" s="17"/>
      <c r="AU563" s="30" t="s">
        <v>7039</v>
      </c>
      <c r="AV563" s="14">
        <v>11356</v>
      </c>
      <c r="AW563" s="74">
        <v>309885</v>
      </c>
      <c r="AX563" s="1"/>
      <c r="AY563" s="17" t="s">
        <v>101</v>
      </c>
    </row>
    <row r="564" spans="1:51" ht="15" customHeight="1" x14ac:dyDescent="0.25">
      <c r="A564" s="5">
        <v>551</v>
      </c>
      <c r="B564" s="9">
        <v>551</v>
      </c>
      <c r="C564" s="9" t="s">
        <v>7040</v>
      </c>
      <c r="D564" s="57" t="str">
        <f>HYPERLINK("http://prodenv.dep.state.fl.us/DepNexus/public/electronic-documents/OG_551/facility!search","OG_551_Docs")</f>
        <v>OG_551_Docs</v>
      </c>
      <c r="E564" s="57" t="str">
        <f>HYPERLINK("https://ca.dep.state.fl.us/mapdirect/?focus=oilandgas&amp;zoom=query&amp;querytype=oilandgas&amp;queryvalues=OG_551","OG_551_Map")</f>
        <v>OG_551_Map</v>
      </c>
      <c r="F564" s="1" t="s">
        <v>1797</v>
      </c>
      <c r="G564" s="1" t="s">
        <v>79</v>
      </c>
      <c r="H564" s="1" t="s">
        <v>7041</v>
      </c>
      <c r="I564" s="1" t="s">
        <v>7042</v>
      </c>
      <c r="J564" s="17" t="s">
        <v>82</v>
      </c>
      <c r="K564" s="17" t="s">
        <v>83</v>
      </c>
      <c r="L564" s="17"/>
      <c r="M564" s="17"/>
      <c r="N564" s="52" t="s">
        <v>7043</v>
      </c>
      <c r="O564" s="17" t="s">
        <v>86</v>
      </c>
      <c r="P564" s="17" t="s">
        <v>86</v>
      </c>
      <c r="Q564" s="81" t="s">
        <v>7044</v>
      </c>
      <c r="R564" s="11">
        <v>30.728968999999999</v>
      </c>
      <c r="S564" s="11">
        <v>-87.047460999999998</v>
      </c>
      <c r="T564" s="11" t="s">
        <v>7045</v>
      </c>
      <c r="U564" s="11" t="s">
        <v>7046</v>
      </c>
      <c r="V564" s="17" t="s">
        <v>7047</v>
      </c>
      <c r="W564" s="17" t="s">
        <v>110</v>
      </c>
      <c r="X564" s="70">
        <v>205</v>
      </c>
      <c r="Y564" s="70">
        <v>181.62</v>
      </c>
      <c r="Z564" s="13">
        <v>26329</v>
      </c>
      <c r="AA564" s="13">
        <v>26339</v>
      </c>
      <c r="AB564" s="13"/>
      <c r="AC564" s="13">
        <v>26426</v>
      </c>
      <c r="AD564" s="86">
        <v>16879</v>
      </c>
      <c r="AE564" s="86">
        <v>16879</v>
      </c>
      <c r="AF564" s="70" t="s">
        <v>3172</v>
      </c>
      <c r="AG564" s="17" t="s">
        <v>7048</v>
      </c>
      <c r="AH564" s="17" t="s">
        <v>94</v>
      </c>
      <c r="AI564" s="70" t="s">
        <v>94</v>
      </c>
      <c r="AJ564" s="17" t="s">
        <v>94</v>
      </c>
      <c r="AK564" s="17" t="s">
        <v>94</v>
      </c>
      <c r="AL564" s="17" t="s">
        <v>7049</v>
      </c>
      <c r="AM564" s="17" t="s">
        <v>94</v>
      </c>
      <c r="AN564" s="17" t="s">
        <v>94</v>
      </c>
      <c r="AO564" s="17" t="s">
        <v>98</v>
      </c>
      <c r="AP564" s="17" t="s">
        <v>98</v>
      </c>
      <c r="AQ564" s="17" t="s">
        <v>98</v>
      </c>
      <c r="AR564" s="17" t="s">
        <v>94</v>
      </c>
      <c r="AS564" s="17" t="s">
        <v>7050</v>
      </c>
      <c r="AT564" s="17"/>
      <c r="AU564" s="30" t="s">
        <v>7051</v>
      </c>
      <c r="AV564" s="14">
        <v>11351</v>
      </c>
      <c r="AW564" s="74"/>
      <c r="AX564" s="1"/>
      <c r="AY564" s="17" t="s">
        <v>101</v>
      </c>
    </row>
    <row r="565" spans="1:51" ht="12.75" customHeight="1" x14ac:dyDescent="0.25">
      <c r="A565" s="5">
        <v>552</v>
      </c>
      <c r="B565" s="9">
        <v>552</v>
      </c>
      <c r="C565" s="9" t="s">
        <v>7052</v>
      </c>
      <c r="D565" s="57" t="str">
        <f>HYPERLINK("http://prodenv.dep.state.fl.us/DepNexus/public/electronic-documents/OG_552/facility!search","OG_552_Docs")</f>
        <v>OG_552_Docs</v>
      </c>
      <c r="E565" s="57" t="str">
        <f>HYPERLINK("https://ca.dep.state.fl.us/mapdirect/?focus=oilandgas&amp;zoom=query&amp;querytype=oilandgas&amp;queryvalues=OG_552","OG_552_Map")</f>
        <v>OG_552_Map</v>
      </c>
      <c r="F565" s="1" t="s">
        <v>1797</v>
      </c>
      <c r="G565" s="1" t="s">
        <v>5133</v>
      </c>
      <c r="H565" s="1" t="s">
        <v>1363</v>
      </c>
      <c r="I565" s="1" t="s">
        <v>7053</v>
      </c>
      <c r="J565" s="17" t="s">
        <v>1476</v>
      </c>
      <c r="K565" s="17" t="s">
        <v>412</v>
      </c>
      <c r="L565" s="17"/>
      <c r="M565" s="17"/>
      <c r="N565" s="52" t="s">
        <v>6155</v>
      </c>
      <c r="O565" s="17" t="s">
        <v>86</v>
      </c>
      <c r="P565" s="17" t="s">
        <v>86</v>
      </c>
      <c r="Q565" s="81" t="s">
        <v>7054</v>
      </c>
      <c r="R565" s="11">
        <v>30.961945</v>
      </c>
      <c r="S565" s="11">
        <v>-87.153302999999994</v>
      </c>
      <c r="T565" s="11" t="s">
        <v>7055</v>
      </c>
      <c r="U565" s="11" t="s">
        <v>7056</v>
      </c>
      <c r="V565" s="17" t="s">
        <v>320</v>
      </c>
      <c r="W565" s="17" t="s">
        <v>110</v>
      </c>
      <c r="X565" s="70">
        <v>260</v>
      </c>
      <c r="Y565" s="70">
        <v>235</v>
      </c>
      <c r="Z565" s="13">
        <v>26344</v>
      </c>
      <c r="AA565" s="13">
        <v>26391</v>
      </c>
      <c r="AB565" s="13">
        <v>26462</v>
      </c>
      <c r="AC565" s="13">
        <v>45924</v>
      </c>
      <c r="AD565" s="86">
        <v>15850</v>
      </c>
      <c r="AE565" s="86">
        <v>15850</v>
      </c>
      <c r="AF565" s="70" t="s">
        <v>135</v>
      </c>
      <c r="AG565" s="17" t="s">
        <v>7057</v>
      </c>
      <c r="AH565" s="17" t="s">
        <v>94</v>
      </c>
      <c r="AI565" s="70" t="s">
        <v>7058</v>
      </c>
      <c r="AJ565" s="17" t="s">
        <v>7059</v>
      </c>
      <c r="AK565" s="17" t="s">
        <v>95</v>
      </c>
      <c r="AL565" s="17" t="s">
        <v>7060</v>
      </c>
      <c r="AM565" s="17" t="s">
        <v>95</v>
      </c>
      <c r="AN565" s="17" t="s">
        <v>86</v>
      </c>
      <c r="AO565" s="17" t="s">
        <v>7061</v>
      </c>
      <c r="AP565" s="17" t="s">
        <v>7062</v>
      </c>
      <c r="AQ565" s="17" t="s">
        <v>86</v>
      </c>
      <c r="AR565" s="17" t="s">
        <v>7063</v>
      </c>
      <c r="AS565" s="17" t="s">
        <v>7064</v>
      </c>
      <c r="AT565" s="17">
        <v>248</v>
      </c>
      <c r="AU565" s="30" t="s">
        <v>7065</v>
      </c>
      <c r="AV565" s="14">
        <v>11370</v>
      </c>
      <c r="AW565" s="74">
        <v>309886</v>
      </c>
      <c r="AX565" s="1"/>
      <c r="AY565" s="17" t="s">
        <v>101</v>
      </c>
    </row>
    <row r="566" spans="1:51" ht="15" customHeight="1" x14ac:dyDescent="0.25">
      <c r="A566" s="5">
        <v>553</v>
      </c>
      <c r="B566" s="9">
        <v>553</v>
      </c>
      <c r="C566" s="9" t="s">
        <v>7066</v>
      </c>
      <c r="D566" s="57" t="str">
        <f>HYPERLINK("http://prodenv.dep.state.fl.us/DepNexus/public/electronic-documents/OG_553/facility!search","OG_553_Docs")</f>
        <v>OG_553_Docs</v>
      </c>
      <c r="E566" s="57" t="str">
        <f>HYPERLINK("https://ca.dep.state.fl.us/mapdirect/?focus=oilandgas&amp;zoom=query&amp;querytype=oilandgas&amp;queryvalues=OG_553","OG_553_Map")</f>
        <v>OG_553_Map</v>
      </c>
      <c r="F566" s="1" t="s">
        <v>1797</v>
      </c>
      <c r="G566" s="1" t="s">
        <v>5133</v>
      </c>
      <c r="H566" s="1" t="s">
        <v>1363</v>
      </c>
      <c r="I566" s="1" t="s">
        <v>7067</v>
      </c>
      <c r="J566" s="17" t="s">
        <v>5107</v>
      </c>
      <c r="K566" s="17" t="s">
        <v>412</v>
      </c>
      <c r="L566" s="17"/>
      <c r="M566" s="17"/>
      <c r="N566" s="52" t="s">
        <v>6895</v>
      </c>
      <c r="O566" s="17" t="s">
        <v>86</v>
      </c>
      <c r="P566" s="17" t="s">
        <v>86</v>
      </c>
      <c r="Q566" s="81" t="s">
        <v>7068</v>
      </c>
      <c r="R566" s="11">
        <v>30.922355</v>
      </c>
      <c r="S566" s="11">
        <v>-87.143590000000003</v>
      </c>
      <c r="T566" s="11" t="s">
        <v>7069</v>
      </c>
      <c r="U566" s="11" t="s">
        <v>7070</v>
      </c>
      <c r="V566" s="17" t="s">
        <v>7071</v>
      </c>
      <c r="W566" s="17" t="s">
        <v>110</v>
      </c>
      <c r="X566" s="70">
        <v>258.2</v>
      </c>
      <c r="Y566" s="70">
        <v>240.4</v>
      </c>
      <c r="Z566" s="13">
        <v>26344</v>
      </c>
      <c r="AA566" s="13">
        <v>26441</v>
      </c>
      <c r="AB566" s="13">
        <v>26609</v>
      </c>
      <c r="AC566" s="13">
        <v>39430</v>
      </c>
      <c r="AD566" s="86">
        <v>16068</v>
      </c>
      <c r="AE566" s="86">
        <v>16068</v>
      </c>
      <c r="AF566" s="70" t="s">
        <v>6962</v>
      </c>
      <c r="AG566" s="17" t="s">
        <v>7072</v>
      </c>
      <c r="AH566" s="17" t="s">
        <v>94</v>
      </c>
      <c r="AI566" s="70" t="s">
        <v>7073</v>
      </c>
      <c r="AJ566" s="17" t="s">
        <v>7074</v>
      </c>
      <c r="AK566" s="17" t="s">
        <v>94</v>
      </c>
      <c r="AL566" s="17" t="s">
        <v>7075</v>
      </c>
      <c r="AM566" s="17" t="s">
        <v>94</v>
      </c>
      <c r="AN566" s="17" t="s">
        <v>94</v>
      </c>
      <c r="AO566" s="17" t="s">
        <v>7076</v>
      </c>
      <c r="AP566" s="17" t="s">
        <v>7077</v>
      </c>
      <c r="AQ566" s="17" t="s">
        <v>5738</v>
      </c>
      <c r="AR566" s="17" t="s">
        <v>7078</v>
      </c>
      <c r="AS566" s="17" t="s">
        <v>7079</v>
      </c>
      <c r="AT566" s="17">
        <v>285</v>
      </c>
      <c r="AU566" s="30" t="s">
        <v>7080</v>
      </c>
      <c r="AV566" s="14">
        <v>11436</v>
      </c>
      <c r="AW566" s="74">
        <v>302987</v>
      </c>
      <c r="AX566" s="1"/>
      <c r="AY566" s="17" t="s">
        <v>101</v>
      </c>
    </row>
    <row r="567" spans="1:51" ht="15" customHeight="1" x14ac:dyDescent="0.25">
      <c r="A567" s="5">
        <v>553.1</v>
      </c>
      <c r="B567" s="9" t="s">
        <v>7081</v>
      </c>
      <c r="C567" s="9" t="s">
        <v>7066</v>
      </c>
      <c r="D567" s="57" t="str">
        <f>HYPERLINK("http://prodenv.dep.state.fl.us/DepNexus/public/electronic-documents/OG_553/facility!search","OG_553_Docs")</f>
        <v>OG_553_Docs</v>
      </c>
      <c r="E567" s="57" t="str">
        <f>HYPERLINK("https://ca.dep.state.fl.us/mapdirect/?focus=oilandgas&amp;zoom=query&amp;querytype=oilandgas&amp;queryvalues=OG_553","OG_553_Map")</f>
        <v>OG_553_Map</v>
      </c>
      <c r="F567" s="1" t="s">
        <v>1797</v>
      </c>
      <c r="G567" s="1" t="s">
        <v>5133</v>
      </c>
      <c r="H567" s="1" t="s">
        <v>1363</v>
      </c>
      <c r="I567" s="1" t="s">
        <v>7082</v>
      </c>
      <c r="J567" s="17" t="s">
        <v>3646</v>
      </c>
      <c r="K567" s="17" t="s">
        <v>412</v>
      </c>
      <c r="L567" s="17"/>
      <c r="M567" s="17"/>
      <c r="N567" s="52" t="s">
        <v>7083</v>
      </c>
      <c r="O567" s="17" t="s">
        <v>86</v>
      </c>
      <c r="P567" s="17" t="s">
        <v>86</v>
      </c>
      <c r="Q567" s="81" t="s">
        <v>7068</v>
      </c>
      <c r="R567" s="11">
        <v>30.922360000000001</v>
      </c>
      <c r="S567" s="11">
        <v>-87.143595000000005</v>
      </c>
      <c r="T567" s="11" t="s">
        <v>7084</v>
      </c>
      <c r="U567" s="11" t="s">
        <v>7085</v>
      </c>
      <c r="V567" s="17" t="s">
        <v>7071</v>
      </c>
      <c r="W567" s="17" t="s">
        <v>7086</v>
      </c>
      <c r="X567" s="70">
        <v>271</v>
      </c>
      <c r="Y567" s="70">
        <v>240</v>
      </c>
      <c r="Z567" s="13">
        <v>43669</v>
      </c>
      <c r="AA567" s="13">
        <v>43737</v>
      </c>
      <c r="AB567" s="13">
        <v>43802</v>
      </c>
      <c r="AC567" s="13"/>
      <c r="AD567" s="86">
        <v>15950</v>
      </c>
      <c r="AE567" s="86">
        <v>16016</v>
      </c>
      <c r="AF567" s="70" t="s">
        <v>6962</v>
      </c>
      <c r="AG567" s="17" t="s">
        <v>7072</v>
      </c>
      <c r="AH567" s="17" t="s">
        <v>94</v>
      </c>
      <c r="AI567" s="89" t="s">
        <v>7087</v>
      </c>
      <c r="AJ567" s="17" t="s">
        <v>7088</v>
      </c>
      <c r="AK567" s="17" t="s">
        <v>825</v>
      </c>
      <c r="AL567" s="17" t="s">
        <v>94</v>
      </c>
      <c r="AM567" s="17" t="s">
        <v>94</v>
      </c>
      <c r="AN567" s="17" t="s">
        <v>94</v>
      </c>
      <c r="AO567" s="17" t="s">
        <v>4402</v>
      </c>
      <c r="AP567" s="17" t="s">
        <v>7089</v>
      </c>
      <c r="AQ567" s="17" t="s">
        <v>7090</v>
      </c>
      <c r="AR567" s="17" t="s">
        <v>7091</v>
      </c>
      <c r="AS567" s="17"/>
      <c r="AT567" s="17">
        <v>292</v>
      </c>
      <c r="AU567" s="30" t="s">
        <v>7092</v>
      </c>
      <c r="AV567" s="14"/>
      <c r="AW567" s="74">
        <v>302987</v>
      </c>
      <c r="AX567" s="1"/>
      <c r="AY567" s="17" t="s">
        <v>101</v>
      </c>
    </row>
    <row r="568" spans="1:51" ht="15" customHeight="1" x14ac:dyDescent="0.25">
      <c r="A568" s="5">
        <v>554</v>
      </c>
      <c r="B568" s="9">
        <v>554</v>
      </c>
      <c r="C568" s="9" t="s">
        <v>7093</v>
      </c>
      <c r="D568" s="57" t="str">
        <f>HYPERLINK("http://prodenv.dep.state.fl.us/DepNexus/public/electronic-documents/OG_554/facility!search","OG_554_Docs")</f>
        <v>OG_554_Docs</v>
      </c>
      <c r="E568" s="57" t="str">
        <f>HYPERLINK("https://ca.dep.state.fl.us/mapdirect/?focus=oilandgas&amp;zoom=query&amp;querytype=oilandgas&amp;queryvalues=OG_554","OG_554_Map")</f>
        <v>OG_554_Map</v>
      </c>
      <c r="F568" s="1" t="s">
        <v>1752</v>
      </c>
      <c r="G568" s="1" t="s">
        <v>4496</v>
      </c>
      <c r="H568" s="1" t="s">
        <v>3669</v>
      </c>
      <c r="I568" s="1" t="s">
        <v>7094</v>
      </c>
      <c r="J568" s="17" t="s">
        <v>268</v>
      </c>
      <c r="K568" s="17" t="s">
        <v>412</v>
      </c>
      <c r="L568" s="17"/>
      <c r="M568" s="17"/>
      <c r="N568" s="52" t="s">
        <v>3956</v>
      </c>
      <c r="O568" s="17" t="s">
        <v>86</v>
      </c>
      <c r="P568" s="17" t="s">
        <v>86</v>
      </c>
      <c r="Q568" s="81" t="s">
        <v>7095</v>
      </c>
      <c r="R568" s="11">
        <v>26.545770999999998</v>
      </c>
      <c r="S568" s="11">
        <v>-81.557663000000005</v>
      </c>
      <c r="T568" s="11" t="s">
        <v>7096</v>
      </c>
      <c r="U568" s="11" t="s">
        <v>7097</v>
      </c>
      <c r="V568" s="17" t="s">
        <v>7098</v>
      </c>
      <c r="W568" s="17" t="s">
        <v>110</v>
      </c>
      <c r="X568" s="70">
        <v>48</v>
      </c>
      <c r="Y568" s="70">
        <v>30</v>
      </c>
      <c r="Z568" s="13">
        <v>26344</v>
      </c>
      <c r="AA568" s="13">
        <v>26361</v>
      </c>
      <c r="AB568" s="13">
        <v>26406</v>
      </c>
      <c r="AC568" s="13">
        <v>33476</v>
      </c>
      <c r="AD568" s="86">
        <v>11580</v>
      </c>
      <c r="AE568" s="86">
        <v>11580</v>
      </c>
      <c r="AF568" s="70" t="s">
        <v>5279</v>
      </c>
      <c r="AG568" s="17" t="s">
        <v>7099</v>
      </c>
      <c r="AH568" s="17" t="s">
        <v>7100</v>
      </c>
      <c r="AI568" s="70" t="s">
        <v>7101</v>
      </c>
      <c r="AJ568" s="17" t="s">
        <v>7102</v>
      </c>
      <c r="AK568" s="17" t="s">
        <v>94</v>
      </c>
      <c r="AL568" s="17" t="s">
        <v>94</v>
      </c>
      <c r="AM568" s="17" t="s">
        <v>94</v>
      </c>
      <c r="AN568" s="17" t="s">
        <v>86</v>
      </c>
      <c r="AO568" s="17" t="s">
        <v>7103</v>
      </c>
      <c r="AP568" s="17" t="s">
        <v>7104</v>
      </c>
      <c r="AQ568" s="17" t="s">
        <v>6702</v>
      </c>
      <c r="AR568" s="17" t="s">
        <v>7105</v>
      </c>
      <c r="AS568" s="17" t="s">
        <v>7106</v>
      </c>
      <c r="AT568" s="17">
        <v>191</v>
      </c>
      <c r="AU568" s="30" t="s">
        <v>7107</v>
      </c>
      <c r="AV568" s="14" t="s">
        <v>94</v>
      </c>
      <c r="AW568" s="74"/>
      <c r="AX568" s="1"/>
      <c r="AY568" s="17" t="s">
        <v>101</v>
      </c>
    </row>
    <row r="569" spans="1:51" ht="15" customHeight="1" x14ac:dyDescent="0.25">
      <c r="A569" s="5">
        <v>555</v>
      </c>
      <c r="B569" s="9">
        <v>555</v>
      </c>
      <c r="C569" s="9" t="s">
        <v>7108</v>
      </c>
      <c r="D569" s="57" t="str">
        <f>HYPERLINK("http://prodenv.dep.state.fl.us/DepNexus/public/electronic-documents/OG_555/facility!search","OG_555_Docs")</f>
        <v>OG_555_Docs</v>
      </c>
      <c r="E569" s="57" t="str">
        <f>HYPERLINK("https://ca.dep.state.fl.us/mapdirect/?focus=oilandgas&amp;zoom=query&amp;querytype=oilandgas&amp;queryvalues=OG_555","OG_555_Map")</f>
        <v>OG_555_Map</v>
      </c>
      <c r="F569" s="1" t="s">
        <v>1797</v>
      </c>
      <c r="G569" s="1" t="s">
        <v>6648</v>
      </c>
      <c r="H569" s="1" t="s">
        <v>6668</v>
      </c>
      <c r="I569" s="1" t="s">
        <v>7109</v>
      </c>
      <c r="J569" s="17" t="s">
        <v>7110</v>
      </c>
      <c r="K569" s="17" t="s">
        <v>7111</v>
      </c>
      <c r="L569" s="17"/>
      <c r="M569" s="17"/>
      <c r="N569" s="52" t="s">
        <v>4802</v>
      </c>
      <c r="O569" s="17" t="s">
        <v>86</v>
      </c>
      <c r="P569" s="17" t="s">
        <v>86</v>
      </c>
      <c r="Q569" s="81" t="s">
        <v>7112</v>
      </c>
      <c r="R569" s="11">
        <v>30.846795</v>
      </c>
      <c r="S569" s="11">
        <v>-87.094177000000002</v>
      </c>
      <c r="T569" s="11" t="s">
        <v>7113</v>
      </c>
      <c r="U569" s="11" t="s">
        <v>7114</v>
      </c>
      <c r="V569" s="17" t="s">
        <v>7115</v>
      </c>
      <c r="W569" s="17" t="s">
        <v>7116</v>
      </c>
      <c r="X569" s="70">
        <v>116</v>
      </c>
      <c r="Y569" s="70">
        <v>90</v>
      </c>
      <c r="Z569" s="13">
        <v>26357</v>
      </c>
      <c r="AA569" s="13">
        <v>26372</v>
      </c>
      <c r="AB569" s="13">
        <v>26385</v>
      </c>
      <c r="AC569" s="13">
        <v>45403</v>
      </c>
      <c r="AD569" s="86">
        <v>7485</v>
      </c>
      <c r="AE569" s="86">
        <v>7485</v>
      </c>
      <c r="AF569" s="70" t="s">
        <v>6962</v>
      </c>
      <c r="AG569" s="17" t="s">
        <v>7117</v>
      </c>
      <c r="AH569" s="17" t="s">
        <v>86</v>
      </c>
      <c r="AI569" s="70" t="s">
        <v>7118</v>
      </c>
      <c r="AJ569" s="17" t="s">
        <v>7119</v>
      </c>
      <c r="AK569" s="17" t="s">
        <v>825</v>
      </c>
      <c r="AL569" s="17" t="s">
        <v>86</v>
      </c>
      <c r="AM569" s="17" t="s">
        <v>825</v>
      </c>
      <c r="AN569" s="17" t="s">
        <v>86</v>
      </c>
      <c r="AO569" s="17" t="s">
        <v>86</v>
      </c>
      <c r="AP569" s="17" t="s">
        <v>86</v>
      </c>
      <c r="AQ569" s="17" t="s">
        <v>86</v>
      </c>
      <c r="AR569" s="17" t="s">
        <v>7120</v>
      </c>
      <c r="AS569" s="17" t="s">
        <v>7121</v>
      </c>
      <c r="AT569" s="17">
        <v>133</v>
      </c>
      <c r="AU569" s="30" t="s">
        <v>7122</v>
      </c>
      <c r="AV569" s="14" t="s">
        <v>86</v>
      </c>
      <c r="AW569" s="74">
        <v>302387</v>
      </c>
      <c r="AX569" s="24" t="s">
        <v>7123</v>
      </c>
      <c r="AY569" s="17" t="s">
        <v>101</v>
      </c>
    </row>
    <row r="570" spans="1:51" ht="12.75" customHeight="1" x14ac:dyDescent="0.25">
      <c r="A570" s="5">
        <v>555.20000000000005</v>
      </c>
      <c r="B570" s="9" t="s">
        <v>7124</v>
      </c>
      <c r="C570" s="9" t="s">
        <v>7125</v>
      </c>
      <c r="D570" s="57" t="str">
        <f>HYPERLINK("http://prodenv.dep.state.fl.us/DepNexus/public/electronic-documents/OG_555B/facility!search","OG_555B_Docs")</f>
        <v>OG_555B_Docs</v>
      </c>
      <c r="E570" s="57" t="str">
        <f>HYPERLINK("https://ca.dep.state.fl.us/mapdirect/?focus=oilandgas&amp;zoom=query&amp;querytype=oilandgas&amp;queryvalues=OG_555B","OG_555B_Map")</f>
        <v>OG_555B_Map</v>
      </c>
      <c r="F570" s="1" t="s">
        <v>1797</v>
      </c>
      <c r="G570" s="1" t="s">
        <v>6648</v>
      </c>
      <c r="H570" s="1" t="s">
        <v>6668</v>
      </c>
      <c r="I570" s="1" t="s">
        <v>7126</v>
      </c>
      <c r="J570" s="17" t="s">
        <v>1476</v>
      </c>
      <c r="K570" s="17" t="s">
        <v>412</v>
      </c>
      <c r="L570" s="17"/>
      <c r="M570" s="17"/>
      <c r="N570" s="52" t="s">
        <v>6046</v>
      </c>
      <c r="O570" s="17" t="s">
        <v>86</v>
      </c>
      <c r="P570" s="17" t="s">
        <v>86</v>
      </c>
      <c r="Q570" s="81" t="s">
        <v>7112</v>
      </c>
      <c r="R570" s="11">
        <v>30.846758000000001</v>
      </c>
      <c r="S570" s="11">
        <v>-87.094184999999996</v>
      </c>
      <c r="T570" s="11" t="s">
        <v>7127</v>
      </c>
      <c r="U570" s="11" t="s">
        <v>7128</v>
      </c>
      <c r="V570" s="17" t="s">
        <v>7129</v>
      </c>
      <c r="W570" s="17" t="s">
        <v>7130</v>
      </c>
      <c r="X570" s="70">
        <v>117</v>
      </c>
      <c r="Y570" s="70">
        <v>90</v>
      </c>
      <c r="Z570" s="13">
        <v>26400</v>
      </c>
      <c r="AA570" s="13">
        <v>26388</v>
      </c>
      <c r="AB570" s="13">
        <v>27417</v>
      </c>
      <c r="AC570" s="13">
        <v>45386</v>
      </c>
      <c r="AD570" s="86">
        <v>16144</v>
      </c>
      <c r="AE570" s="86">
        <v>16144</v>
      </c>
      <c r="AF570" s="70" t="s">
        <v>7131</v>
      </c>
      <c r="AG570" s="17" t="s">
        <v>7132</v>
      </c>
      <c r="AH570" s="17" t="s">
        <v>94</v>
      </c>
      <c r="AI570" s="70" t="s">
        <v>7133</v>
      </c>
      <c r="AJ570" s="17" t="s">
        <v>7134</v>
      </c>
      <c r="AK570" s="17" t="s">
        <v>95</v>
      </c>
      <c r="AL570" s="17" t="s">
        <v>7135</v>
      </c>
      <c r="AM570" s="17" t="s">
        <v>825</v>
      </c>
      <c r="AN570" s="17" t="s">
        <v>86</v>
      </c>
      <c r="AO570" s="17" t="s">
        <v>7136</v>
      </c>
      <c r="AP570" s="17" t="s">
        <v>7137</v>
      </c>
      <c r="AQ570" s="17" t="s">
        <v>4176</v>
      </c>
      <c r="AR570" s="17" t="s">
        <v>7138</v>
      </c>
      <c r="AS570" s="17" t="s">
        <v>7139</v>
      </c>
      <c r="AT570" s="17">
        <v>242</v>
      </c>
      <c r="AU570" s="30" t="s">
        <v>7140</v>
      </c>
      <c r="AV570" s="14">
        <v>11358</v>
      </c>
      <c r="AW570" s="74">
        <v>309820</v>
      </c>
      <c r="AX570" s="1"/>
      <c r="AY570" s="17" t="s">
        <v>101</v>
      </c>
    </row>
    <row r="571" spans="1:51" ht="15" customHeight="1" x14ac:dyDescent="0.25">
      <c r="A571" s="5">
        <v>556</v>
      </c>
      <c r="B571" s="9">
        <v>556</v>
      </c>
      <c r="C571" s="9" t="s">
        <v>7141</v>
      </c>
      <c r="D571" s="57" t="str">
        <f>HYPERLINK("http://prodenv.dep.state.fl.us/DepNexus/public/electronic-documents/OG_556/facility!search","OG_556_Docs")</f>
        <v>OG_556_Docs</v>
      </c>
      <c r="E571" s="57" t="str">
        <f>HYPERLINK("https://ca.dep.state.fl.us/mapdirect/?focus=oilandgas&amp;zoom=query&amp;querytype=oilandgas&amp;queryvalues=OG_556","OG_556_Map")</f>
        <v>OG_556_Map</v>
      </c>
      <c r="F571" s="1" t="s">
        <v>1797</v>
      </c>
      <c r="G571" s="1" t="s">
        <v>5133</v>
      </c>
      <c r="H571" s="1" t="s">
        <v>1363</v>
      </c>
      <c r="I571" s="1" t="s">
        <v>7142</v>
      </c>
      <c r="J571" s="17" t="s">
        <v>1476</v>
      </c>
      <c r="K571" s="17" t="s">
        <v>412</v>
      </c>
      <c r="L571" s="17"/>
      <c r="M571" s="17"/>
      <c r="N571" s="52" t="s">
        <v>6895</v>
      </c>
      <c r="O571" s="17" t="s">
        <v>86</v>
      </c>
      <c r="P571" s="17" t="s">
        <v>86</v>
      </c>
      <c r="Q571" s="81" t="s">
        <v>7143</v>
      </c>
      <c r="R571" s="11">
        <v>30.929373999999999</v>
      </c>
      <c r="S571" s="11">
        <v>-87.137057999999996</v>
      </c>
      <c r="T571" s="11" t="s">
        <v>7144</v>
      </c>
      <c r="U571" s="11" t="s">
        <v>7145</v>
      </c>
      <c r="V571" s="17" t="s">
        <v>7146</v>
      </c>
      <c r="W571" s="17" t="s">
        <v>110</v>
      </c>
      <c r="X571" s="70">
        <v>265.5</v>
      </c>
      <c r="Y571" s="70">
        <v>245.7</v>
      </c>
      <c r="Z571" s="13">
        <v>26357</v>
      </c>
      <c r="AA571" s="13">
        <v>26373</v>
      </c>
      <c r="AB571" s="13">
        <v>26609</v>
      </c>
      <c r="AC571" s="13">
        <v>44623</v>
      </c>
      <c r="AD571" s="86">
        <v>15988</v>
      </c>
      <c r="AE571" s="86">
        <v>15988</v>
      </c>
      <c r="AF571" s="70" t="s">
        <v>5849</v>
      </c>
      <c r="AG571" s="17" t="s">
        <v>7147</v>
      </c>
      <c r="AH571" s="17" t="s">
        <v>94</v>
      </c>
      <c r="AI571" s="70" t="s">
        <v>7148</v>
      </c>
      <c r="AJ571" s="17" t="s">
        <v>7149</v>
      </c>
      <c r="AK571" s="17" t="s">
        <v>94</v>
      </c>
      <c r="AL571" s="17" t="s">
        <v>7150</v>
      </c>
      <c r="AM571" s="17" t="s">
        <v>94</v>
      </c>
      <c r="AN571" s="17" t="s">
        <v>94</v>
      </c>
      <c r="AO571" s="17" t="s">
        <v>7151</v>
      </c>
      <c r="AP571" s="17" t="s">
        <v>7152</v>
      </c>
      <c r="AQ571" s="17" t="s">
        <v>5617</v>
      </c>
      <c r="AR571" s="17" t="s">
        <v>7153</v>
      </c>
      <c r="AS571" s="17" t="s">
        <v>7154</v>
      </c>
      <c r="AT571" s="17"/>
      <c r="AU571" s="30" t="s">
        <v>7155</v>
      </c>
      <c r="AV571" s="14">
        <v>11343</v>
      </c>
      <c r="AW571" s="74">
        <v>309887</v>
      </c>
      <c r="AX571" s="1"/>
      <c r="AY571" s="17" t="s">
        <v>101</v>
      </c>
    </row>
    <row r="572" spans="1:51" ht="15" customHeight="1" x14ac:dyDescent="0.25">
      <c r="A572" s="5">
        <v>557</v>
      </c>
      <c r="B572" s="9">
        <v>557</v>
      </c>
      <c r="C572" s="9" t="s">
        <v>7156</v>
      </c>
      <c r="D572" s="57" t="str">
        <f>HYPERLINK("http://prodenv.dep.state.fl.us/DepNexus/public/electronic-documents/OG_557/facility!search","OG_557_Docs")</f>
        <v>OG_557_Docs</v>
      </c>
      <c r="E572" s="57" t="str">
        <f>HYPERLINK("https://ca.dep.state.fl.us/mapdirect/?focus=oilandgas&amp;zoom=query&amp;querytype=oilandgas&amp;queryvalues=OG_557","OG_557_Map")</f>
        <v>OG_557_Map</v>
      </c>
      <c r="F572" s="1" t="s">
        <v>1797</v>
      </c>
      <c r="G572" s="1" t="s">
        <v>5133</v>
      </c>
      <c r="H572" s="1" t="s">
        <v>1363</v>
      </c>
      <c r="I572" s="1" t="s">
        <v>7157</v>
      </c>
      <c r="J572" s="17" t="s">
        <v>3646</v>
      </c>
      <c r="K572" s="17" t="s">
        <v>412</v>
      </c>
      <c r="L572" s="17"/>
      <c r="M572" s="17"/>
      <c r="N572" s="52" t="s">
        <v>7158</v>
      </c>
      <c r="O572" s="17" t="s">
        <v>86</v>
      </c>
      <c r="P572" s="17" t="s">
        <v>86</v>
      </c>
      <c r="Q572" s="81" t="s">
        <v>7159</v>
      </c>
      <c r="R572" s="11">
        <v>30.922547000000002</v>
      </c>
      <c r="S572" s="11">
        <v>-87.149949000000007</v>
      </c>
      <c r="T572" s="11" t="s">
        <v>7160</v>
      </c>
      <c r="U572" s="11" t="s">
        <v>7161</v>
      </c>
      <c r="V572" s="17" t="s">
        <v>7162</v>
      </c>
      <c r="W572" s="17" t="s">
        <v>110</v>
      </c>
      <c r="X572" s="70">
        <v>262</v>
      </c>
      <c r="Y572" s="70">
        <v>242</v>
      </c>
      <c r="Z572" s="13">
        <v>26357</v>
      </c>
      <c r="AA572" s="13">
        <v>26379</v>
      </c>
      <c r="AB572" s="13">
        <v>26451</v>
      </c>
      <c r="AC572" s="13"/>
      <c r="AD572" s="86">
        <v>16031</v>
      </c>
      <c r="AE572" s="86">
        <v>16031</v>
      </c>
      <c r="AF572" s="70" t="s">
        <v>275</v>
      </c>
      <c r="AG572" s="17" t="s">
        <v>7163</v>
      </c>
      <c r="AH572" s="17" t="s">
        <v>7164</v>
      </c>
      <c r="AI572" s="70" t="s">
        <v>94</v>
      </c>
      <c r="AJ572" s="17" t="s">
        <v>7165</v>
      </c>
      <c r="AK572" s="17" t="s">
        <v>95</v>
      </c>
      <c r="AL572" s="17" t="s">
        <v>7166</v>
      </c>
      <c r="AM572" s="17" t="s">
        <v>94</v>
      </c>
      <c r="AN572" s="17" t="s">
        <v>94</v>
      </c>
      <c r="AO572" s="17" t="s">
        <v>7167</v>
      </c>
      <c r="AP572" s="17" t="s">
        <v>7168</v>
      </c>
      <c r="AQ572" s="17" t="s">
        <v>7169</v>
      </c>
      <c r="AR572" s="17" t="s">
        <v>7170</v>
      </c>
      <c r="AS572" s="17"/>
      <c r="AT572" s="17"/>
      <c r="AU572" s="30" t="s">
        <v>7171</v>
      </c>
      <c r="AV572" s="14">
        <v>11349</v>
      </c>
      <c r="AW572" s="74">
        <v>309889</v>
      </c>
      <c r="AX572" s="1"/>
      <c r="AY572" s="17" t="s">
        <v>101</v>
      </c>
    </row>
    <row r="573" spans="1:51" ht="15" customHeight="1" x14ac:dyDescent="0.25">
      <c r="A573" s="5">
        <v>558</v>
      </c>
      <c r="B573" s="9">
        <v>558</v>
      </c>
      <c r="C573" s="9" t="s">
        <v>7172</v>
      </c>
      <c r="D573" s="57" t="str">
        <f>HYPERLINK("http://prodenv.dep.state.fl.us/DepNexus/public/electronic-documents/OG_558/facility!search","OG_558_Docs")</f>
        <v>OG_558_Docs</v>
      </c>
      <c r="E573" s="57" t="str">
        <f>HYPERLINK("https://ca.dep.state.fl.us/mapdirect/?focus=oilandgas&amp;zoom=query&amp;querytype=oilandgas&amp;queryvalues=OG_558","OG_558_Map")</f>
        <v>OG_558_Map</v>
      </c>
      <c r="F573" s="1" t="s">
        <v>1797</v>
      </c>
      <c r="G573" s="1" t="s">
        <v>5133</v>
      </c>
      <c r="H573" s="1" t="s">
        <v>1363</v>
      </c>
      <c r="I573" s="1" t="s">
        <v>7173</v>
      </c>
      <c r="J573" s="17" t="s">
        <v>5135</v>
      </c>
      <c r="K573" s="17" t="s">
        <v>5525</v>
      </c>
      <c r="L573" s="17"/>
      <c r="M573" s="17"/>
      <c r="N573" s="52" t="s">
        <v>6895</v>
      </c>
      <c r="O573" s="17" t="s">
        <v>86</v>
      </c>
      <c r="P573" s="17" t="s">
        <v>86</v>
      </c>
      <c r="Q573" s="81" t="s">
        <v>7174</v>
      </c>
      <c r="R573" s="11">
        <v>30.969111000000002</v>
      </c>
      <c r="S573" s="11">
        <v>-87.143912999999998</v>
      </c>
      <c r="T573" s="11" t="s">
        <v>7175</v>
      </c>
      <c r="U573" s="11" t="s">
        <v>7176</v>
      </c>
      <c r="V573" s="17" t="s">
        <v>7177</v>
      </c>
      <c r="W573" s="17" t="s">
        <v>110</v>
      </c>
      <c r="X573" s="70">
        <v>266.7</v>
      </c>
      <c r="Y573" s="70">
        <v>245</v>
      </c>
      <c r="Z573" s="13">
        <v>26357</v>
      </c>
      <c r="AA573" s="13">
        <v>26380</v>
      </c>
      <c r="AB573" s="13">
        <v>26583</v>
      </c>
      <c r="AC573" s="13"/>
      <c r="AD573" s="86">
        <v>16110</v>
      </c>
      <c r="AE573" s="86">
        <v>16110</v>
      </c>
      <c r="AF573" s="70" t="s">
        <v>3172</v>
      </c>
      <c r="AG573" s="17" t="s">
        <v>7178</v>
      </c>
      <c r="AH573" s="17" t="s">
        <v>94</v>
      </c>
      <c r="AI573" s="70" t="s">
        <v>7179</v>
      </c>
      <c r="AJ573" s="17" t="s">
        <v>7180</v>
      </c>
      <c r="AK573" s="17" t="s">
        <v>94</v>
      </c>
      <c r="AL573" s="17" t="s">
        <v>7181</v>
      </c>
      <c r="AM573" s="17" t="s">
        <v>95</v>
      </c>
      <c r="AN573" s="17" t="s">
        <v>94</v>
      </c>
      <c r="AO573" s="17" t="s">
        <v>7182</v>
      </c>
      <c r="AP573" s="17" t="s">
        <v>7183</v>
      </c>
      <c r="AQ573" s="17" t="s">
        <v>7184</v>
      </c>
      <c r="AR573" s="17" t="s">
        <v>7185</v>
      </c>
      <c r="AS573" s="17"/>
      <c r="AT573" s="17"/>
      <c r="AU573" s="30" t="s">
        <v>7186</v>
      </c>
      <c r="AV573" s="14">
        <v>11536</v>
      </c>
      <c r="AW573" s="74">
        <v>309890</v>
      </c>
      <c r="AX573" s="1" t="s">
        <v>7187</v>
      </c>
      <c r="AY573" s="17" t="s">
        <v>101</v>
      </c>
    </row>
    <row r="574" spans="1:51" ht="15" customHeight="1" x14ac:dyDescent="0.25">
      <c r="A574" s="5">
        <v>559</v>
      </c>
      <c r="B574" s="9">
        <v>559</v>
      </c>
      <c r="C574" s="9" t="s">
        <v>7188</v>
      </c>
      <c r="D574" s="57" t="str">
        <f>HYPERLINK("http://prodenv.dep.state.fl.us/DepNexus/public/electronic-documents/OG_559/facility!search","OG_559_Docs")</f>
        <v>OG_559_Docs</v>
      </c>
      <c r="E574" s="57" t="str">
        <f>HYPERLINK("https://ca.dep.state.fl.us/mapdirect/?focus=oilandgas&amp;zoom=query&amp;querytype=oilandgas&amp;queryvalues=OG_559","OG_559_Map")</f>
        <v>OG_559_Map</v>
      </c>
      <c r="F574" s="1" t="s">
        <v>1797</v>
      </c>
      <c r="G574" s="1" t="s">
        <v>5133</v>
      </c>
      <c r="H574" s="1" t="s">
        <v>1363</v>
      </c>
      <c r="I574" s="1" t="s">
        <v>7189</v>
      </c>
      <c r="J574" s="17" t="s">
        <v>5135</v>
      </c>
      <c r="K574" s="17" t="s">
        <v>4266</v>
      </c>
      <c r="L574" s="17"/>
      <c r="M574" s="17"/>
      <c r="N574" s="52" t="s">
        <v>7190</v>
      </c>
      <c r="O574" s="17" t="s">
        <v>86</v>
      </c>
      <c r="P574" s="17" t="s">
        <v>86</v>
      </c>
      <c r="Q574" s="81" t="s">
        <v>7191</v>
      </c>
      <c r="R574" s="11">
        <v>30.937248</v>
      </c>
      <c r="S574" s="11">
        <v>-87.159346999999997</v>
      </c>
      <c r="T574" s="11" t="s">
        <v>7192</v>
      </c>
      <c r="U574" s="11" t="s">
        <v>7193</v>
      </c>
      <c r="V574" s="17" t="s">
        <v>7194</v>
      </c>
      <c r="W574" s="17" t="s">
        <v>110</v>
      </c>
      <c r="X574" s="70">
        <v>277.72000000000003</v>
      </c>
      <c r="Y574" s="70">
        <v>261.64</v>
      </c>
      <c r="Z574" s="13">
        <v>26357</v>
      </c>
      <c r="AA574" s="13">
        <v>26377</v>
      </c>
      <c r="AB574" s="13">
        <v>26440</v>
      </c>
      <c r="AC574" s="13"/>
      <c r="AD574" s="86">
        <v>16003</v>
      </c>
      <c r="AE574" s="86">
        <v>16003</v>
      </c>
      <c r="AF574" s="70" t="s">
        <v>1445</v>
      </c>
      <c r="AG574" s="17" t="s">
        <v>6382</v>
      </c>
      <c r="AH574" s="17" t="s">
        <v>94</v>
      </c>
      <c r="AI574" s="70" t="s">
        <v>7195</v>
      </c>
      <c r="AJ574" s="17" t="s">
        <v>7196</v>
      </c>
      <c r="AK574" s="17" t="s">
        <v>95</v>
      </c>
      <c r="AL574" s="17" t="s">
        <v>7197</v>
      </c>
      <c r="AM574" s="17" t="s">
        <v>94</v>
      </c>
      <c r="AN574" s="17" t="s">
        <v>94</v>
      </c>
      <c r="AO574" s="17" t="s">
        <v>7198</v>
      </c>
      <c r="AP574" s="17" t="s">
        <v>7199</v>
      </c>
      <c r="AQ574" s="17" t="s">
        <v>5617</v>
      </c>
      <c r="AR574" s="17" t="s">
        <v>7200</v>
      </c>
      <c r="AS574" s="17"/>
      <c r="AT574" s="17"/>
      <c r="AU574" s="30" t="s">
        <v>7201</v>
      </c>
      <c r="AV574" s="14">
        <v>11345</v>
      </c>
      <c r="AW574" s="74">
        <v>311590</v>
      </c>
      <c r="AX574" s="1" t="s">
        <v>7202</v>
      </c>
      <c r="AY574" s="17" t="s">
        <v>101</v>
      </c>
    </row>
    <row r="575" spans="1:51" ht="15" customHeight="1" x14ac:dyDescent="0.25">
      <c r="A575" s="5">
        <v>560</v>
      </c>
      <c r="B575" s="9">
        <v>560</v>
      </c>
      <c r="C575" s="9" t="s">
        <v>7203</v>
      </c>
      <c r="D575" s="57" t="str">
        <f>HYPERLINK("http://prodenv.dep.state.fl.us/DepNexus/public/electronic-documents/OG_560/facility!search","OG_560_Docs")</f>
        <v>OG_560_Docs</v>
      </c>
      <c r="E575" s="57" t="str">
        <f>HYPERLINK("https://ca.dep.state.fl.us/mapdirect/?focus=oilandgas&amp;zoom=query&amp;querytype=oilandgas&amp;queryvalues=OG_560","OG_560_Map")</f>
        <v>OG_560_Map</v>
      </c>
      <c r="F575" s="1" t="s">
        <v>1752</v>
      </c>
      <c r="G575" s="1" t="s">
        <v>79</v>
      </c>
      <c r="H575" s="1" t="s">
        <v>176</v>
      </c>
      <c r="I575" s="1" t="s">
        <v>7204</v>
      </c>
      <c r="J575" s="17" t="s">
        <v>207</v>
      </c>
      <c r="K575" s="23" t="s">
        <v>5153</v>
      </c>
      <c r="L575" s="17"/>
      <c r="M575" s="17" t="s">
        <v>207</v>
      </c>
      <c r="N575" s="52" t="s">
        <v>86</v>
      </c>
      <c r="O575" s="17" t="s">
        <v>270</v>
      </c>
      <c r="P575" s="17" t="s">
        <v>86</v>
      </c>
      <c r="Q575" s="81" t="s">
        <v>7205</v>
      </c>
      <c r="R575" s="11">
        <v>26.361536999999998</v>
      </c>
      <c r="S575" s="11">
        <v>-81.089530999999994</v>
      </c>
      <c r="T575" s="11" t="s">
        <v>7206</v>
      </c>
      <c r="U575" s="11" t="s">
        <v>7207</v>
      </c>
      <c r="V575" s="17" t="s">
        <v>7208</v>
      </c>
      <c r="W575" s="17" t="s">
        <v>110</v>
      </c>
      <c r="X575" s="70"/>
      <c r="Y575" s="70"/>
      <c r="Z575" s="13">
        <v>26357</v>
      </c>
      <c r="AA575" s="13"/>
      <c r="AB575" s="13"/>
      <c r="AC575" s="13"/>
      <c r="AD575" s="86"/>
      <c r="AE575" s="70"/>
      <c r="AF575" s="70" t="s">
        <v>207</v>
      </c>
      <c r="AG575" s="14" t="s">
        <v>207</v>
      </c>
      <c r="AH575" s="14" t="s">
        <v>207</v>
      </c>
      <c r="AI575" s="70" t="s">
        <v>207</v>
      </c>
      <c r="AJ575" s="14" t="s">
        <v>207</v>
      </c>
      <c r="AK575" s="14" t="s">
        <v>207</v>
      </c>
      <c r="AL575" s="14" t="s">
        <v>207</v>
      </c>
      <c r="AM575" s="14" t="s">
        <v>207</v>
      </c>
      <c r="AN575" s="14" t="s">
        <v>207</v>
      </c>
      <c r="AO575" s="14" t="s">
        <v>207</v>
      </c>
      <c r="AP575" s="14" t="s">
        <v>207</v>
      </c>
      <c r="AQ575" s="14" t="s">
        <v>207</v>
      </c>
      <c r="AR575" s="14" t="s">
        <v>207</v>
      </c>
      <c r="AS575" s="14" t="s">
        <v>207</v>
      </c>
      <c r="AT575" s="14" t="s">
        <v>207</v>
      </c>
      <c r="AU575" s="30" t="s">
        <v>7209</v>
      </c>
      <c r="AV575" s="14" t="s">
        <v>207</v>
      </c>
      <c r="AW575" s="74"/>
      <c r="AX575" s="1"/>
      <c r="AY575" s="17" t="s">
        <v>101</v>
      </c>
    </row>
    <row r="576" spans="1:51" ht="12.75" customHeight="1" x14ac:dyDescent="0.25">
      <c r="A576" s="5">
        <v>560.1</v>
      </c>
      <c r="B576" s="9" t="s">
        <v>7210</v>
      </c>
      <c r="C576" s="9" t="s">
        <v>7203</v>
      </c>
      <c r="D576" s="57" t="str">
        <f>HYPERLINK("http://prodenv.dep.state.fl.us/DepNexus/public/electronic-documents/OG_560/facility!search","OG_560_Docs")</f>
        <v>OG_560_Docs</v>
      </c>
      <c r="E576" s="57" t="str">
        <f>HYPERLINK("https://ca.dep.state.fl.us/mapdirect/?focus=oilandgas&amp;zoom=query&amp;querytype=oilandgas&amp;queryvalues=OG_560","OG_560_Map")</f>
        <v>OG_560_Map</v>
      </c>
      <c r="F576" s="1" t="s">
        <v>1752</v>
      </c>
      <c r="G576" s="1" t="s">
        <v>79</v>
      </c>
      <c r="H576" s="1" t="s">
        <v>176</v>
      </c>
      <c r="I576" s="1" t="s">
        <v>7204</v>
      </c>
      <c r="J576" s="17" t="s">
        <v>82</v>
      </c>
      <c r="K576" s="17" t="s">
        <v>83</v>
      </c>
      <c r="L576" s="17"/>
      <c r="M576" s="17"/>
      <c r="N576" s="52" t="s">
        <v>4735</v>
      </c>
      <c r="O576" s="17" t="s">
        <v>270</v>
      </c>
      <c r="P576" s="17" t="s">
        <v>86</v>
      </c>
      <c r="Q576" s="81" t="s">
        <v>7205</v>
      </c>
      <c r="R576" s="11">
        <v>26.361536999999998</v>
      </c>
      <c r="S576" s="11">
        <v>-81.089530999999994</v>
      </c>
      <c r="T576" s="11" t="s">
        <v>7206</v>
      </c>
      <c r="U576" s="11" t="s">
        <v>7207</v>
      </c>
      <c r="V576" s="17" t="s">
        <v>7208</v>
      </c>
      <c r="W576" s="17" t="s">
        <v>110</v>
      </c>
      <c r="X576" s="70">
        <v>40</v>
      </c>
      <c r="Y576" s="70">
        <v>23.2</v>
      </c>
      <c r="Z576" s="13">
        <v>26632</v>
      </c>
      <c r="AA576" s="13">
        <v>26654</v>
      </c>
      <c r="AB576" s="13"/>
      <c r="AC576" s="13">
        <v>26683</v>
      </c>
      <c r="AD576" s="86">
        <v>11700</v>
      </c>
      <c r="AE576" s="86">
        <v>11700</v>
      </c>
      <c r="AF576" s="70" t="s">
        <v>3961</v>
      </c>
      <c r="AG576" s="17" t="s">
        <v>7211</v>
      </c>
      <c r="AH576" s="17" t="s">
        <v>7212</v>
      </c>
      <c r="AI576" s="70" t="s">
        <v>94</v>
      </c>
      <c r="AJ576" s="17" t="s">
        <v>94</v>
      </c>
      <c r="AK576" s="17" t="s">
        <v>95</v>
      </c>
      <c r="AL576" s="17" t="s">
        <v>7213</v>
      </c>
      <c r="AM576" s="17"/>
      <c r="AN576" s="17" t="s">
        <v>94</v>
      </c>
      <c r="AO576" s="17" t="s">
        <v>98</v>
      </c>
      <c r="AP576" s="17" t="s">
        <v>98</v>
      </c>
      <c r="AQ576" s="17" t="s">
        <v>98</v>
      </c>
      <c r="AR576" s="17" t="s">
        <v>94</v>
      </c>
      <c r="AS576" s="17" t="s">
        <v>7214</v>
      </c>
      <c r="AT576" s="17"/>
      <c r="AU576" s="30" t="s">
        <v>7215</v>
      </c>
      <c r="AV576" s="14">
        <v>11770</v>
      </c>
      <c r="AW576" s="74"/>
      <c r="AX576" s="1"/>
      <c r="AY576" s="17" t="s">
        <v>101</v>
      </c>
    </row>
    <row r="577" spans="1:51" ht="12.75" customHeight="1" x14ac:dyDescent="0.25">
      <c r="A577" s="5">
        <v>561</v>
      </c>
      <c r="B577" s="9">
        <v>561</v>
      </c>
      <c r="C577" s="9" t="s">
        <v>7216</v>
      </c>
      <c r="D577" s="57" t="str">
        <f>HYPERLINK("http://prodenv.dep.state.fl.us/DepNexus/public/electronic-documents/OG_561/facility!search","OG_561_Docs")</f>
        <v>OG_561_Docs</v>
      </c>
      <c r="E577" s="57" t="str">
        <f>HYPERLINK("https://ca.dep.state.fl.us/mapdirect/?focus=oilandgas&amp;zoom=query&amp;querytype=oilandgas&amp;queryvalues=OG_561","OG_561_Map")</f>
        <v>OG_561_Map</v>
      </c>
      <c r="F577" s="1" t="s">
        <v>1752</v>
      </c>
      <c r="G577" s="1" t="s">
        <v>79</v>
      </c>
      <c r="H577" s="1" t="s">
        <v>176</v>
      </c>
      <c r="I577" s="1" t="s">
        <v>7217</v>
      </c>
      <c r="J577" s="17" t="s">
        <v>82</v>
      </c>
      <c r="K577" s="17" t="s">
        <v>83</v>
      </c>
      <c r="L577" s="17"/>
      <c r="M577" s="17" t="s">
        <v>101</v>
      </c>
      <c r="N577" s="52" t="s">
        <v>3956</v>
      </c>
      <c r="O577" s="17" t="s">
        <v>270</v>
      </c>
      <c r="P577" s="17" t="s">
        <v>86</v>
      </c>
      <c r="Q577" s="81" t="s">
        <v>7218</v>
      </c>
      <c r="R577" s="11">
        <v>26.330798999999999</v>
      </c>
      <c r="S577" s="11">
        <v>-81.169049999999999</v>
      </c>
      <c r="T577" s="11" t="s">
        <v>7219</v>
      </c>
      <c r="U577" s="11" t="s">
        <v>7220</v>
      </c>
      <c r="V577" s="17" t="s">
        <v>7221</v>
      </c>
      <c r="W577" s="17" t="s">
        <v>110</v>
      </c>
      <c r="X577" s="70">
        <v>33</v>
      </c>
      <c r="Y577" s="70">
        <v>15</v>
      </c>
      <c r="Z577" s="13">
        <v>26357</v>
      </c>
      <c r="AA577" s="13">
        <v>26455</v>
      </c>
      <c r="AB577" s="13"/>
      <c r="AC577" s="13">
        <v>26483</v>
      </c>
      <c r="AD577" s="86">
        <v>11589</v>
      </c>
      <c r="AE577" s="86">
        <v>11589</v>
      </c>
      <c r="AF577" s="70" t="s">
        <v>7222</v>
      </c>
      <c r="AG577" s="17" t="s">
        <v>7223</v>
      </c>
      <c r="AH577" s="17" t="s">
        <v>7224</v>
      </c>
      <c r="AI577" s="70" t="s">
        <v>94</v>
      </c>
      <c r="AJ577" s="17" t="s">
        <v>94</v>
      </c>
      <c r="AK577" s="17" t="s">
        <v>95</v>
      </c>
      <c r="AL577" s="17" t="s">
        <v>7225</v>
      </c>
      <c r="AM577" s="17" t="s">
        <v>94</v>
      </c>
      <c r="AN577" s="17" t="s">
        <v>94</v>
      </c>
      <c r="AO577" s="17" t="s">
        <v>98</v>
      </c>
      <c r="AP577" s="17" t="s">
        <v>98</v>
      </c>
      <c r="AQ577" s="17" t="s">
        <v>98</v>
      </c>
      <c r="AR577" s="17" t="s">
        <v>94</v>
      </c>
      <c r="AS577" s="17" t="s">
        <v>7226</v>
      </c>
      <c r="AT577" s="17">
        <v>190</v>
      </c>
      <c r="AU577" s="30" t="s">
        <v>7227</v>
      </c>
      <c r="AV577" s="14">
        <v>11507</v>
      </c>
      <c r="AW577" s="74"/>
      <c r="AX577" s="1"/>
      <c r="AY577" s="17" t="s">
        <v>101</v>
      </c>
    </row>
    <row r="578" spans="1:51" ht="12.75" customHeight="1" x14ac:dyDescent="0.25">
      <c r="A578" s="5">
        <v>562</v>
      </c>
      <c r="B578" s="9">
        <v>562</v>
      </c>
      <c r="C578" s="9" t="s">
        <v>7228</v>
      </c>
      <c r="D578" s="57" t="str">
        <f>HYPERLINK("http://prodenv.dep.state.fl.us/DepNexus/public/electronic-documents/OG_562/facility!search","OG_562_Docs")</f>
        <v>OG_562_Docs</v>
      </c>
      <c r="E578" s="57" t="str">
        <f>HYPERLINK("https://ca.dep.state.fl.us/mapdirect/?focus=oilandgas&amp;zoom=query&amp;querytype=oilandgas&amp;queryvalues=OG_562","OG_562_Map")</f>
        <v>OG_562_Map</v>
      </c>
      <c r="F578" s="1" t="s">
        <v>265</v>
      </c>
      <c r="G578" s="1" t="s">
        <v>79</v>
      </c>
      <c r="H578" s="1" t="s">
        <v>176</v>
      </c>
      <c r="I578" s="1" t="s">
        <v>7229</v>
      </c>
      <c r="J578" s="17" t="s">
        <v>82</v>
      </c>
      <c r="K578" s="17" t="s">
        <v>83</v>
      </c>
      <c r="L578" s="17"/>
      <c r="M578" s="17"/>
      <c r="N578" s="52" t="s">
        <v>3956</v>
      </c>
      <c r="O578" s="17" t="s">
        <v>270</v>
      </c>
      <c r="P578" s="17" t="s">
        <v>86</v>
      </c>
      <c r="Q578" s="81" t="s">
        <v>7230</v>
      </c>
      <c r="R578" s="11">
        <v>26.172321</v>
      </c>
      <c r="S578" s="11">
        <v>-81.069136</v>
      </c>
      <c r="T578" s="11" t="s">
        <v>7231</v>
      </c>
      <c r="U578" s="11" t="s">
        <v>7232</v>
      </c>
      <c r="V578" s="17" t="s">
        <v>7233</v>
      </c>
      <c r="W578" s="17" t="s">
        <v>110</v>
      </c>
      <c r="X578" s="70">
        <v>31</v>
      </c>
      <c r="Y578" s="70">
        <v>15.2</v>
      </c>
      <c r="Z578" s="13">
        <v>26357</v>
      </c>
      <c r="AA578" s="13">
        <v>26402</v>
      </c>
      <c r="AB578" s="13"/>
      <c r="AC578" s="13">
        <v>26444</v>
      </c>
      <c r="AD578" s="86">
        <v>11760</v>
      </c>
      <c r="AE578" s="86">
        <v>11760</v>
      </c>
      <c r="AF578" s="70" t="s">
        <v>6793</v>
      </c>
      <c r="AG578" s="17" t="s">
        <v>7234</v>
      </c>
      <c r="AH578" s="17" t="s">
        <v>7235</v>
      </c>
      <c r="AI578" s="70" t="s">
        <v>94</v>
      </c>
      <c r="AJ578" s="17" t="s">
        <v>94</v>
      </c>
      <c r="AK578" s="17" t="s">
        <v>95</v>
      </c>
      <c r="AL578" s="17" t="s">
        <v>94</v>
      </c>
      <c r="AM578" s="17" t="s">
        <v>94</v>
      </c>
      <c r="AN578" s="17" t="s">
        <v>94</v>
      </c>
      <c r="AO578" s="17" t="s">
        <v>98</v>
      </c>
      <c r="AP578" s="17" t="s">
        <v>98</v>
      </c>
      <c r="AQ578" s="17" t="s">
        <v>98</v>
      </c>
      <c r="AR578" s="17" t="s">
        <v>94</v>
      </c>
      <c r="AS578" s="17" t="s">
        <v>7236</v>
      </c>
      <c r="AT578" s="17"/>
      <c r="AU578" s="30" t="s">
        <v>7237</v>
      </c>
      <c r="AV578" s="14">
        <v>11500</v>
      </c>
      <c r="AW578" s="74"/>
      <c r="AX578" s="1"/>
      <c r="AY578" s="17" t="s">
        <v>101</v>
      </c>
    </row>
    <row r="579" spans="1:51" ht="12.75" customHeight="1" x14ac:dyDescent="0.25">
      <c r="A579" s="5">
        <v>563</v>
      </c>
      <c r="B579" s="9">
        <v>563</v>
      </c>
      <c r="C579" s="9" t="s">
        <v>7238</v>
      </c>
      <c r="D579" s="57" t="str">
        <f>HYPERLINK("http://prodenv.dep.state.fl.us/DepNexus/public/electronic-documents/OG_563/facility!search","OG_563_Docs")</f>
        <v>OG_563_Docs</v>
      </c>
      <c r="E579" s="57" t="str">
        <f>HYPERLINK("https://ca.dep.state.fl.us/mapdirect/?focus=oilandgas&amp;zoom=query&amp;querytype=oilandgas&amp;queryvalues=OG_563","OG_563_Map")</f>
        <v>OG_563_Map</v>
      </c>
      <c r="F579" s="1" t="s">
        <v>265</v>
      </c>
      <c r="G579" s="1" t="s">
        <v>7239</v>
      </c>
      <c r="H579" s="1" t="s">
        <v>3624</v>
      </c>
      <c r="I579" s="1" t="s">
        <v>7240</v>
      </c>
      <c r="J579" s="17" t="s">
        <v>268</v>
      </c>
      <c r="K579" s="17" t="s">
        <v>5048</v>
      </c>
      <c r="L579" s="17"/>
      <c r="M579" s="17" t="s">
        <v>101</v>
      </c>
      <c r="N579" s="52" t="s">
        <v>3956</v>
      </c>
      <c r="O579" s="17" t="s">
        <v>270</v>
      </c>
      <c r="P579" s="17" t="s">
        <v>3395</v>
      </c>
      <c r="Q579" s="81" t="s">
        <v>7241</v>
      </c>
      <c r="R579" s="11">
        <v>26.231695999999999</v>
      </c>
      <c r="S579" s="11">
        <v>-81.287409999999994</v>
      </c>
      <c r="T579" s="11" t="s">
        <v>7242</v>
      </c>
      <c r="U579" s="11" t="s">
        <v>7243</v>
      </c>
      <c r="V579" s="17" t="s">
        <v>7244</v>
      </c>
      <c r="W579" s="17" t="s">
        <v>110</v>
      </c>
      <c r="X579" s="70">
        <v>32</v>
      </c>
      <c r="Y579" s="70">
        <v>15</v>
      </c>
      <c r="Z579" s="13">
        <v>26357</v>
      </c>
      <c r="AA579" s="13">
        <v>26528</v>
      </c>
      <c r="AB579" s="13">
        <v>26638</v>
      </c>
      <c r="AC579" s="13">
        <v>37568</v>
      </c>
      <c r="AD579" s="86">
        <v>11817</v>
      </c>
      <c r="AE579" s="86">
        <v>11817</v>
      </c>
      <c r="AF579" s="70" t="s">
        <v>3961</v>
      </c>
      <c r="AG579" s="17" t="s">
        <v>7245</v>
      </c>
      <c r="AH579" s="17" t="s">
        <v>3789</v>
      </c>
      <c r="AI579" s="70" t="s">
        <v>7246</v>
      </c>
      <c r="AJ579" s="17" t="s">
        <v>7247</v>
      </c>
      <c r="AK579" s="17" t="s">
        <v>95</v>
      </c>
      <c r="AL579" s="17" t="s">
        <v>7248</v>
      </c>
      <c r="AM579" s="17" t="s">
        <v>94</v>
      </c>
      <c r="AN579" s="17" t="s">
        <v>94</v>
      </c>
      <c r="AO579" s="17" t="s">
        <v>7249</v>
      </c>
      <c r="AP579" s="17" t="s">
        <v>6135</v>
      </c>
      <c r="AQ579" s="17" t="s">
        <v>5312</v>
      </c>
      <c r="AR579" s="17" t="s">
        <v>7250</v>
      </c>
      <c r="AS579" s="17" t="s">
        <v>7251</v>
      </c>
      <c r="AT579" s="17">
        <v>192</v>
      </c>
      <c r="AU579" s="30" t="s">
        <v>7252</v>
      </c>
      <c r="AV579" s="14">
        <v>11762</v>
      </c>
      <c r="AW579" s="74">
        <v>314433</v>
      </c>
      <c r="AX579" s="39" t="s">
        <v>7253</v>
      </c>
      <c r="AY579" s="17" t="s">
        <v>101</v>
      </c>
    </row>
    <row r="580" spans="1:51" ht="15" customHeight="1" x14ac:dyDescent="0.25">
      <c r="A580" s="5">
        <v>564</v>
      </c>
      <c r="B580" s="9">
        <v>564</v>
      </c>
      <c r="C580" s="9" t="s">
        <v>7254</v>
      </c>
      <c r="D580" s="57" t="str">
        <f>HYPERLINK("http://prodenv.dep.state.fl.us/DepNexus/public/electronic-documents/OG_564/facility!search","OG_564_Docs")</f>
        <v>OG_564_Docs</v>
      </c>
      <c r="E580" s="57" t="str">
        <f>HYPERLINK("https://ca.dep.state.fl.us/mapdirect/?focus=oilandgas&amp;zoom=query&amp;querytype=oilandgas&amp;queryvalues=OG_564","OG_564_Map")</f>
        <v>OG_564_Map</v>
      </c>
      <c r="F580" s="1" t="s">
        <v>290</v>
      </c>
      <c r="G580" s="1" t="s">
        <v>79</v>
      </c>
      <c r="H580" s="1" t="s">
        <v>7255</v>
      </c>
      <c r="I580" s="1" t="s">
        <v>7256</v>
      </c>
      <c r="J580" s="17" t="s">
        <v>82</v>
      </c>
      <c r="K580" s="17" t="s">
        <v>83</v>
      </c>
      <c r="L580" s="17"/>
      <c r="M580" s="17" t="s">
        <v>101</v>
      </c>
      <c r="N580" s="52" t="s">
        <v>4840</v>
      </c>
      <c r="O580" s="17" t="s">
        <v>270</v>
      </c>
      <c r="P580" s="17" t="s">
        <v>3395</v>
      </c>
      <c r="Q580" s="81" t="s">
        <v>7257</v>
      </c>
      <c r="R580" s="11">
        <v>25.762632</v>
      </c>
      <c r="S580" s="11">
        <v>-80.992227999999997</v>
      </c>
      <c r="T580" s="11" t="s">
        <v>7258</v>
      </c>
      <c r="U580" s="11" t="s">
        <v>7259</v>
      </c>
      <c r="V580" s="17" t="s">
        <v>7260</v>
      </c>
      <c r="W580" s="17" t="s">
        <v>110</v>
      </c>
      <c r="X580" s="70">
        <v>25</v>
      </c>
      <c r="Y580" s="70">
        <v>9</v>
      </c>
      <c r="Z580" s="13">
        <v>26357</v>
      </c>
      <c r="AA580" s="13">
        <v>26507</v>
      </c>
      <c r="AB580" s="13">
        <v>26541</v>
      </c>
      <c r="AC580" s="13">
        <v>26713</v>
      </c>
      <c r="AD580" s="86">
        <v>12662</v>
      </c>
      <c r="AE580" s="86">
        <v>12662</v>
      </c>
      <c r="AF580" s="70" t="s">
        <v>3961</v>
      </c>
      <c r="AG580" s="17" t="s">
        <v>7261</v>
      </c>
      <c r="AH580" s="17" t="s">
        <v>5036</v>
      </c>
      <c r="AI580" s="70" t="s">
        <v>94</v>
      </c>
      <c r="AJ580" s="17" t="s">
        <v>94</v>
      </c>
      <c r="AK580" s="17" t="s">
        <v>95</v>
      </c>
      <c r="AL580" s="17" t="s">
        <v>7262</v>
      </c>
      <c r="AM580" s="17" t="s">
        <v>95</v>
      </c>
      <c r="AN580" s="17" t="s">
        <v>7263</v>
      </c>
      <c r="AO580" s="17" t="s">
        <v>7264</v>
      </c>
      <c r="AP580" s="17" t="s">
        <v>94</v>
      </c>
      <c r="AQ580" s="17" t="s">
        <v>7265</v>
      </c>
      <c r="AR580" s="17" t="s">
        <v>94</v>
      </c>
      <c r="AS580" s="17" t="s">
        <v>7266</v>
      </c>
      <c r="AT580" s="17">
        <v>187</v>
      </c>
      <c r="AU580" s="30" t="s">
        <v>7267</v>
      </c>
      <c r="AV580" s="14">
        <v>11768</v>
      </c>
      <c r="AW580" s="74"/>
      <c r="AX580" s="1" t="s">
        <v>7268</v>
      </c>
      <c r="AY580" s="17" t="s">
        <v>101</v>
      </c>
    </row>
    <row r="581" spans="1:51" ht="12.75" customHeight="1" x14ac:dyDescent="0.25">
      <c r="A581" s="5">
        <v>565</v>
      </c>
      <c r="B581" s="9">
        <v>565</v>
      </c>
      <c r="C581" s="9" t="s">
        <v>7269</v>
      </c>
      <c r="D581" s="57" t="str">
        <f>HYPERLINK("http://prodenv.dep.state.fl.us/DepNexus/public/electronic-documents/OG_565/facility!search","OG_565_Docs")</f>
        <v>OG_565_Docs</v>
      </c>
      <c r="E581" s="57" t="str">
        <f>HYPERLINK("https://ca.dep.state.fl.us/mapdirect/?focus=oilandgas&amp;zoom=query&amp;querytype=oilandgas&amp;queryvalues=OG_565","OG_565_Map")</f>
        <v>OG_565_Map</v>
      </c>
      <c r="F581" s="1" t="s">
        <v>1752</v>
      </c>
      <c r="G581" s="1" t="s">
        <v>79</v>
      </c>
      <c r="H581" s="1" t="s">
        <v>4242</v>
      </c>
      <c r="I581" s="1" t="s">
        <v>7270</v>
      </c>
      <c r="J581" s="17" t="s">
        <v>82</v>
      </c>
      <c r="K581" s="17" t="s">
        <v>83</v>
      </c>
      <c r="L581" s="17"/>
      <c r="M581" s="17"/>
      <c r="N581" s="52" t="s">
        <v>6529</v>
      </c>
      <c r="O581" s="17" t="s">
        <v>270</v>
      </c>
      <c r="P581" s="17" t="s">
        <v>5157</v>
      </c>
      <c r="Q581" s="81" t="s">
        <v>7271</v>
      </c>
      <c r="R581" s="11">
        <v>26.283013</v>
      </c>
      <c r="S581" s="11">
        <v>-81.038207999999997</v>
      </c>
      <c r="T581" s="11" t="s">
        <v>7272</v>
      </c>
      <c r="U581" s="11" t="s">
        <v>7273</v>
      </c>
      <c r="V581" s="17" t="s">
        <v>7274</v>
      </c>
      <c r="W581" s="17" t="s">
        <v>110</v>
      </c>
      <c r="X581" s="70">
        <v>34</v>
      </c>
      <c r="Y581" s="70">
        <v>19</v>
      </c>
      <c r="Z581" s="13">
        <v>26357</v>
      </c>
      <c r="AA581" s="13">
        <v>26382</v>
      </c>
      <c r="AB581" s="13"/>
      <c r="AC581" s="13">
        <v>26416</v>
      </c>
      <c r="AD581" s="86">
        <v>11655</v>
      </c>
      <c r="AE581" s="86">
        <v>11655</v>
      </c>
      <c r="AF581" s="70" t="s">
        <v>5035</v>
      </c>
      <c r="AG581" s="17" t="s">
        <v>7275</v>
      </c>
      <c r="AH581" s="17" t="s">
        <v>7276</v>
      </c>
      <c r="AI581" s="70" t="s">
        <v>94</v>
      </c>
      <c r="AJ581" s="17" t="s">
        <v>94</v>
      </c>
      <c r="AK581" s="17" t="s">
        <v>95</v>
      </c>
      <c r="AL581" s="17" t="s">
        <v>94</v>
      </c>
      <c r="AM581" s="17" t="s">
        <v>94</v>
      </c>
      <c r="AN581" s="17" t="s">
        <v>94</v>
      </c>
      <c r="AO581" s="17" t="s">
        <v>98</v>
      </c>
      <c r="AP581" s="17" t="s">
        <v>98</v>
      </c>
      <c r="AQ581" s="17" t="s">
        <v>98</v>
      </c>
      <c r="AR581" s="17" t="s">
        <v>94</v>
      </c>
      <c r="AS581" s="17" t="s">
        <v>7277</v>
      </c>
      <c r="AT581" s="17"/>
      <c r="AU581" s="30" t="s">
        <v>7278</v>
      </c>
      <c r="AV581" s="14">
        <v>11503</v>
      </c>
      <c r="AW581" s="74"/>
      <c r="AX581" s="1" t="s">
        <v>7279</v>
      </c>
      <c r="AY581" s="17" t="s">
        <v>101</v>
      </c>
    </row>
    <row r="582" spans="1:51" ht="12.75" customHeight="1" x14ac:dyDescent="0.25">
      <c r="A582" s="5">
        <v>565.1</v>
      </c>
      <c r="B582" s="9" t="s">
        <v>7280</v>
      </c>
      <c r="C582" s="9" t="s">
        <v>7269</v>
      </c>
      <c r="D582" s="57" t="str">
        <f>HYPERLINK("http://prodenv.dep.state.fl.us/DepNexus/public/electronic-documents/OG_565/facility!search","OG_565_Docs")</f>
        <v>OG_565_Docs</v>
      </c>
      <c r="E582" s="57" t="str">
        <f>HYPERLINK("https://ca.dep.state.fl.us/mapdirect/?focus=oilandgas&amp;zoom=query&amp;querytype=oilandgas&amp;queryvalues=OG_565","OG_565_Map")</f>
        <v>OG_565_Map</v>
      </c>
      <c r="F582" s="1" t="s">
        <v>1752</v>
      </c>
      <c r="G582" s="1" t="s">
        <v>79</v>
      </c>
      <c r="H582" s="1" t="s">
        <v>6324</v>
      </c>
      <c r="I582" s="1" t="s">
        <v>7281</v>
      </c>
      <c r="J582" s="17" t="s">
        <v>82</v>
      </c>
      <c r="K582" s="17" t="s">
        <v>83</v>
      </c>
      <c r="L582" s="17"/>
      <c r="M582" s="17" t="s">
        <v>101</v>
      </c>
      <c r="N582" s="52" t="s">
        <v>6529</v>
      </c>
      <c r="O582" s="17" t="s">
        <v>270</v>
      </c>
      <c r="P582" s="17" t="s">
        <v>5157</v>
      </c>
      <c r="Q582" s="81" t="s">
        <v>7271</v>
      </c>
      <c r="R582" s="11">
        <v>26.283013</v>
      </c>
      <c r="S582" s="11">
        <v>-81.038207999999997</v>
      </c>
      <c r="T582" s="11" t="s">
        <v>7272</v>
      </c>
      <c r="U582" s="11" t="s">
        <v>7273</v>
      </c>
      <c r="V582" s="17" t="s">
        <v>7274</v>
      </c>
      <c r="W582" s="17" t="s">
        <v>110</v>
      </c>
      <c r="X582" s="70">
        <v>34</v>
      </c>
      <c r="Y582" s="70">
        <v>19</v>
      </c>
      <c r="Z582" s="13">
        <v>26428</v>
      </c>
      <c r="AA582" s="13">
        <v>26416</v>
      </c>
      <c r="AB582" s="13"/>
      <c r="AC582" s="13">
        <v>26495</v>
      </c>
      <c r="AD582" s="86">
        <v>17028</v>
      </c>
      <c r="AE582" s="86">
        <v>17028</v>
      </c>
      <c r="AF582" s="70" t="s">
        <v>5035</v>
      </c>
      <c r="AG582" s="17" t="s">
        <v>7275</v>
      </c>
      <c r="AH582" s="17" t="s">
        <v>7276</v>
      </c>
      <c r="AI582" s="70" t="s">
        <v>7282</v>
      </c>
      <c r="AJ582" s="17" t="s">
        <v>94</v>
      </c>
      <c r="AK582" s="17" t="s">
        <v>95</v>
      </c>
      <c r="AL582" s="17" t="s">
        <v>94</v>
      </c>
      <c r="AM582" s="17" t="s">
        <v>94</v>
      </c>
      <c r="AN582" s="17" t="s">
        <v>94</v>
      </c>
      <c r="AO582" s="17" t="s">
        <v>98</v>
      </c>
      <c r="AP582" s="17" t="s">
        <v>98</v>
      </c>
      <c r="AQ582" s="17" t="s">
        <v>98</v>
      </c>
      <c r="AR582" s="17" t="s">
        <v>94</v>
      </c>
      <c r="AS582" s="17" t="s">
        <v>7283</v>
      </c>
      <c r="AT582" s="17"/>
      <c r="AU582" s="30" t="s">
        <v>7278</v>
      </c>
      <c r="AV582" s="14">
        <v>11504</v>
      </c>
      <c r="AW582" s="74"/>
      <c r="AX582" s="1"/>
      <c r="AY582" s="17" t="s">
        <v>101</v>
      </c>
    </row>
    <row r="583" spans="1:51" ht="12.75" customHeight="1" x14ac:dyDescent="0.25">
      <c r="A583" s="5">
        <v>566</v>
      </c>
      <c r="B583" s="9">
        <v>566</v>
      </c>
      <c r="C583" s="9" t="s">
        <v>7284</v>
      </c>
      <c r="D583" s="57" t="str">
        <f>HYPERLINK("http://prodenv.dep.state.fl.us/DepNexus/public/electronic-documents/OG_566/facility!search","OG_566_Docs")</f>
        <v>OG_566_Docs</v>
      </c>
      <c r="E583" s="57" t="str">
        <f>HYPERLINK("https://ca.dep.state.fl.us/mapdirect/?focus=oilandgas&amp;zoom=query&amp;querytype=oilandgas&amp;queryvalues=OG_566","OG_566_Map")</f>
        <v>OG_566_Map</v>
      </c>
      <c r="F583" s="1" t="s">
        <v>204</v>
      </c>
      <c r="G583" s="1" t="s">
        <v>2103</v>
      </c>
      <c r="H583" s="1" t="s">
        <v>5248</v>
      </c>
      <c r="I583" s="1" t="s">
        <v>7285</v>
      </c>
      <c r="J583" s="17" t="s">
        <v>207</v>
      </c>
      <c r="K583" s="17" t="s">
        <v>208</v>
      </c>
      <c r="L583" s="17"/>
      <c r="M583" s="17" t="s">
        <v>207</v>
      </c>
      <c r="N583" s="52" t="s">
        <v>86</v>
      </c>
      <c r="O583" s="17" t="s">
        <v>86</v>
      </c>
      <c r="P583" s="17" t="s">
        <v>86</v>
      </c>
      <c r="Q583" s="81" t="s">
        <v>7286</v>
      </c>
      <c r="R583" s="11">
        <v>25.768729</v>
      </c>
      <c r="S583" s="11">
        <v>-80.838121999999998</v>
      </c>
      <c r="T583" s="11" t="s">
        <v>7287</v>
      </c>
      <c r="U583" s="11" t="s">
        <v>7288</v>
      </c>
      <c r="V583" s="17" t="s">
        <v>7289</v>
      </c>
      <c r="W583" s="17" t="s">
        <v>110</v>
      </c>
      <c r="X583" s="70"/>
      <c r="Y583" s="70"/>
      <c r="Z583" s="13">
        <v>26357</v>
      </c>
      <c r="AA583" s="13"/>
      <c r="AB583" s="13"/>
      <c r="AC583" s="13"/>
      <c r="AD583" s="86"/>
      <c r="AE583" s="70"/>
      <c r="AF583" s="70" t="s">
        <v>207</v>
      </c>
      <c r="AG583" s="14" t="s">
        <v>207</v>
      </c>
      <c r="AH583" s="14" t="s">
        <v>207</v>
      </c>
      <c r="AI583" s="70" t="s">
        <v>207</v>
      </c>
      <c r="AJ583" s="14" t="s">
        <v>207</v>
      </c>
      <c r="AK583" s="14" t="s">
        <v>207</v>
      </c>
      <c r="AL583" s="14" t="s">
        <v>207</v>
      </c>
      <c r="AM583" s="14" t="s">
        <v>207</v>
      </c>
      <c r="AN583" s="14" t="s">
        <v>207</v>
      </c>
      <c r="AO583" s="14" t="s">
        <v>207</v>
      </c>
      <c r="AP583" s="14" t="s">
        <v>207</v>
      </c>
      <c r="AQ583" s="14" t="s">
        <v>207</v>
      </c>
      <c r="AR583" s="14" t="s">
        <v>207</v>
      </c>
      <c r="AS583" s="14" t="s">
        <v>207</v>
      </c>
      <c r="AT583" s="14" t="s">
        <v>207</v>
      </c>
      <c r="AU583" s="30" t="s">
        <v>7290</v>
      </c>
      <c r="AV583" s="14" t="s">
        <v>207</v>
      </c>
      <c r="AW583" s="74"/>
      <c r="AX583" s="1"/>
      <c r="AY583" s="17" t="s">
        <v>101</v>
      </c>
    </row>
    <row r="584" spans="1:51" ht="12.75" customHeight="1" x14ac:dyDescent="0.25">
      <c r="A584" s="5">
        <v>567</v>
      </c>
      <c r="B584" s="9">
        <v>567</v>
      </c>
      <c r="C584" s="9" t="s">
        <v>7291</v>
      </c>
      <c r="D584" s="57" t="str">
        <f>HYPERLINK("http://prodenv.dep.state.fl.us/DepNexus/public/electronic-documents/OG_567/facility!search","OG_567_Docs")</f>
        <v>OG_567_Docs</v>
      </c>
      <c r="E584" s="57" t="str">
        <f>HYPERLINK("https://ca.dep.state.fl.us/mapdirect/?focus=oilandgas&amp;zoom=query&amp;querytype=oilandgas&amp;queryvalues=OG_567","OG_567_Map")</f>
        <v>OG_567_Map</v>
      </c>
      <c r="F584" s="1" t="s">
        <v>1752</v>
      </c>
      <c r="G584" s="1" t="s">
        <v>79</v>
      </c>
      <c r="H584" s="1" t="s">
        <v>7292</v>
      </c>
      <c r="I584" s="1" t="s">
        <v>3748</v>
      </c>
      <c r="J584" s="17" t="s">
        <v>82</v>
      </c>
      <c r="K584" s="17" t="s">
        <v>83</v>
      </c>
      <c r="L584" s="17"/>
      <c r="M584" s="17"/>
      <c r="N584" s="52" t="s">
        <v>7043</v>
      </c>
      <c r="O584" s="17" t="s">
        <v>270</v>
      </c>
      <c r="P584" s="17" t="s">
        <v>86</v>
      </c>
      <c r="Q584" s="81" t="s">
        <v>7293</v>
      </c>
      <c r="R584" s="11">
        <v>26.423812000000002</v>
      </c>
      <c r="S584" s="11">
        <v>-81.259039999999999</v>
      </c>
      <c r="T584" s="11" t="s">
        <v>7294</v>
      </c>
      <c r="U584" s="11" t="s">
        <v>7295</v>
      </c>
      <c r="V584" s="17" t="s">
        <v>7296</v>
      </c>
      <c r="W584" s="17" t="s">
        <v>110</v>
      </c>
      <c r="X584" s="70">
        <v>42</v>
      </c>
      <c r="Y584" s="70">
        <v>26.5</v>
      </c>
      <c r="Z584" s="13">
        <v>26357</v>
      </c>
      <c r="AA584" s="13">
        <v>26447</v>
      </c>
      <c r="AB584" s="13"/>
      <c r="AC584" s="13">
        <v>26483</v>
      </c>
      <c r="AD584" s="86">
        <v>11712</v>
      </c>
      <c r="AE584" s="86">
        <v>11712</v>
      </c>
      <c r="AF584" s="70" t="s">
        <v>5035</v>
      </c>
      <c r="AG584" s="17" t="s">
        <v>7297</v>
      </c>
      <c r="AH584" s="17" t="s">
        <v>7298</v>
      </c>
      <c r="AI584" s="70" t="s">
        <v>94</v>
      </c>
      <c r="AJ584" s="17" t="s">
        <v>94</v>
      </c>
      <c r="AK584" s="17" t="s">
        <v>95</v>
      </c>
      <c r="AL584" s="17" t="s">
        <v>94</v>
      </c>
      <c r="AM584" s="17" t="s">
        <v>94</v>
      </c>
      <c r="AN584" s="17" t="s">
        <v>94</v>
      </c>
      <c r="AO584" s="17" t="s">
        <v>98</v>
      </c>
      <c r="AP584" s="17" t="s">
        <v>98</v>
      </c>
      <c r="AQ584" s="17" t="s">
        <v>98</v>
      </c>
      <c r="AR584" s="17" t="s">
        <v>94</v>
      </c>
      <c r="AS584" s="17" t="s">
        <v>7299</v>
      </c>
      <c r="AT584" s="17"/>
      <c r="AU584" s="30" t="s">
        <v>7300</v>
      </c>
      <c r="AV584" s="14">
        <v>11501</v>
      </c>
      <c r="AW584" s="74"/>
      <c r="AX584" s="1"/>
      <c r="AY584" s="17" t="s">
        <v>101</v>
      </c>
    </row>
    <row r="585" spans="1:51" ht="12.75" customHeight="1" x14ac:dyDescent="0.25">
      <c r="A585" s="5">
        <v>568</v>
      </c>
      <c r="B585" s="9">
        <v>568</v>
      </c>
      <c r="C585" s="9" t="s">
        <v>7301</v>
      </c>
      <c r="D585" s="57" t="str">
        <f>HYPERLINK("http://prodenv.dep.state.fl.us/DepNexus/public/electronic-documents/OG_568/facility!search","OG_568_Docs")</f>
        <v>OG_568_Docs</v>
      </c>
      <c r="E585" s="57" t="str">
        <f>HYPERLINK("https://ca.dep.state.fl.us/mapdirect/?focus=oilandgas&amp;zoom=query&amp;querytype=oilandgas&amp;queryvalues=OG_568","OG_568_Map")</f>
        <v>OG_568_Map</v>
      </c>
      <c r="F585" s="1" t="s">
        <v>1752</v>
      </c>
      <c r="G585" s="1" t="s">
        <v>79</v>
      </c>
      <c r="H585" s="1" t="s">
        <v>6324</v>
      </c>
      <c r="I585" s="1" t="s">
        <v>7302</v>
      </c>
      <c r="J585" s="17" t="s">
        <v>82</v>
      </c>
      <c r="K585" s="17" t="s">
        <v>83</v>
      </c>
      <c r="L585" s="17"/>
      <c r="M585" s="17"/>
      <c r="N585" s="52" t="s">
        <v>6529</v>
      </c>
      <c r="O585" s="17" t="s">
        <v>86</v>
      </c>
      <c r="P585" s="17" t="s">
        <v>86</v>
      </c>
      <c r="Q585" s="81" t="s">
        <v>7303</v>
      </c>
      <c r="R585" s="11">
        <v>26.626747999999999</v>
      </c>
      <c r="S585" s="11">
        <v>-81.512349</v>
      </c>
      <c r="T585" s="11" t="s">
        <v>7304</v>
      </c>
      <c r="U585" s="11" t="s">
        <v>7305</v>
      </c>
      <c r="V585" s="17" t="s">
        <v>7306</v>
      </c>
      <c r="W585" s="17" t="s">
        <v>110</v>
      </c>
      <c r="X585" s="70">
        <v>44.25</v>
      </c>
      <c r="Y585" s="70">
        <v>28.35</v>
      </c>
      <c r="Z585" s="13">
        <v>26365</v>
      </c>
      <c r="AA585" s="13">
        <v>26396</v>
      </c>
      <c r="AB585" s="13"/>
      <c r="AC585" s="13">
        <v>26439</v>
      </c>
      <c r="AD585" s="86">
        <v>11620</v>
      </c>
      <c r="AE585" s="86">
        <v>11620</v>
      </c>
      <c r="AF585" s="70" t="s">
        <v>5896</v>
      </c>
      <c r="AG585" s="17" t="s">
        <v>6755</v>
      </c>
      <c r="AH585" s="17" t="s">
        <v>7307</v>
      </c>
      <c r="AI585" s="70" t="s">
        <v>94</v>
      </c>
      <c r="AJ585" s="17" t="s">
        <v>94</v>
      </c>
      <c r="AK585" s="17" t="s">
        <v>95</v>
      </c>
      <c r="AL585" s="17" t="s">
        <v>94</v>
      </c>
      <c r="AM585" s="17" t="s">
        <v>94</v>
      </c>
      <c r="AN585" s="17" t="s">
        <v>94</v>
      </c>
      <c r="AO585" s="17" t="s">
        <v>98</v>
      </c>
      <c r="AP585" s="17" t="s">
        <v>98</v>
      </c>
      <c r="AQ585" s="17" t="s">
        <v>98</v>
      </c>
      <c r="AR585" s="17" t="s">
        <v>94</v>
      </c>
      <c r="AS585" s="17" t="s">
        <v>7308</v>
      </c>
      <c r="AT585" s="17"/>
      <c r="AU585" s="30" t="s">
        <v>7309</v>
      </c>
      <c r="AV585" s="14">
        <v>11502</v>
      </c>
      <c r="AW585" s="74"/>
      <c r="AX585" s="1"/>
      <c r="AY585" s="17" t="s">
        <v>101</v>
      </c>
    </row>
    <row r="586" spans="1:51" ht="12.75" customHeight="1" x14ac:dyDescent="0.25">
      <c r="A586" s="5">
        <v>569</v>
      </c>
      <c r="B586" s="9">
        <v>569</v>
      </c>
      <c r="C586" s="9" t="s">
        <v>7310</v>
      </c>
      <c r="D586" s="57" t="str">
        <f>HYPERLINK("http://prodenv.dep.state.fl.us/DepNexus/public/electronic-documents/OG_569/facility!search","OG_569_Docs")</f>
        <v>OG_569_Docs</v>
      </c>
      <c r="E586" s="57" t="str">
        <f>HYPERLINK("https://ca.dep.state.fl.us/mapdirect/?focus=oilandgas&amp;zoom=query&amp;querytype=oilandgas&amp;queryvalues=OG_569","OG_569_Map")</f>
        <v>OG_569_Map</v>
      </c>
      <c r="F586" s="1" t="s">
        <v>1797</v>
      </c>
      <c r="G586" s="1" t="s">
        <v>5133</v>
      </c>
      <c r="H586" s="1" t="s">
        <v>1363</v>
      </c>
      <c r="I586" s="1" t="s">
        <v>7311</v>
      </c>
      <c r="J586" s="17" t="s">
        <v>5135</v>
      </c>
      <c r="K586" s="17" t="s">
        <v>4266</v>
      </c>
      <c r="L586" s="17"/>
      <c r="M586" s="17"/>
      <c r="N586" s="52" t="s">
        <v>6046</v>
      </c>
      <c r="O586" s="17" t="s">
        <v>86</v>
      </c>
      <c r="P586" s="17" t="s">
        <v>86</v>
      </c>
      <c r="Q586" s="81" t="s">
        <v>7312</v>
      </c>
      <c r="R586" s="11">
        <v>30.944137999999999</v>
      </c>
      <c r="S586" s="11">
        <v>-87.152139000000005</v>
      </c>
      <c r="T586" s="11" t="s">
        <v>7313</v>
      </c>
      <c r="U586" s="11" t="s">
        <v>7314</v>
      </c>
      <c r="V586" s="17" t="s">
        <v>7315</v>
      </c>
      <c r="W586" s="17" t="s">
        <v>110</v>
      </c>
      <c r="X586" s="70">
        <v>278.83</v>
      </c>
      <c r="Y586" s="70">
        <v>253.83</v>
      </c>
      <c r="Z586" s="13">
        <v>26365</v>
      </c>
      <c r="AA586" s="13">
        <v>26414</v>
      </c>
      <c r="AB586" s="13">
        <v>26467</v>
      </c>
      <c r="AC586" s="13"/>
      <c r="AD586" s="86">
        <v>15930</v>
      </c>
      <c r="AE586" s="86">
        <v>15930</v>
      </c>
      <c r="AF586" s="70" t="s">
        <v>333</v>
      </c>
      <c r="AG586" s="17" t="s">
        <v>7316</v>
      </c>
      <c r="AH586" s="17" t="s">
        <v>94</v>
      </c>
      <c r="AI586" s="70" t="s">
        <v>7317</v>
      </c>
      <c r="AJ586" s="17" t="s">
        <v>7247</v>
      </c>
      <c r="AK586" s="17" t="s">
        <v>94</v>
      </c>
      <c r="AL586" s="17" t="s">
        <v>7318</v>
      </c>
      <c r="AM586" s="17" t="s">
        <v>94</v>
      </c>
      <c r="AN586" s="17" t="s">
        <v>94</v>
      </c>
      <c r="AO586" s="17" t="s">
        <v>7319</v>
      </c>
      <c r="AP586" s="17" t="s">
        <v>7320</v>
      </c>
      <c r="AQ586" s="17" t="s">
        <v>6702</v>
      </c>
      <c r="AR586" s="17" t="s">
        <v>7321</v>
      </c>
      <c r="AS586" s="17"/>
      <c r="AT586" s="17"/>
      <c r="AU586" s="30" t="s">
        <v>7322</v>
      </c>
      <c r="AV586" s="14">
        <v>11384</v>
      </c>
      <c r="AW586" s="74">
        <v>311591</v>
      </c>
      <c r="AX586" s="1" t="s">
        <v>7323</v>
      </c>
      <c r="AY586" s="17" t="s">
        <v>101</v>
      </c>
    </row>
    <row r="587" spans="1:51" ht="15" customHeight="1" x14ac:dyDescent="0.25">
      <c r="A587" s="5">
        <v>570</v>
      </c>
      <c r="B587" s="9">
        <v>570</v>
      </c>
      <c r="C587" s="9" t="s">
        <v>7324</v>
      </c>
      <c r="D587" s="57" t="str">
        <f>HYPERLINK("http://prodenv.dep.state.fl.us/DepNexus/public/electronic-documents/OG_570/facility!search","OG_570_Docs")</f>
        <v>OG_570_Docs</v>
      </c>
      <c r="E587" s="57" t="str">
        <f>HYPERLINK("https://ca.dep.state.fl.us/mapdirect/?focus=oilandgas&amp;zoom=query&amp;querytype=oilandgas&amp;queryvalues=OG_570","OG_570_Map")</f>
        <v>OG_570_Map</v>
      </c>
      <c r="F587" s="1" t="s">
        <v>1797</v>
      </c>
      <c r="G587" s="1" t="s">
        <v>5133</v>
      </c>
      <c r="H587" s="1" t="s">
        <v>176</v>
      </c>
      <c r="I587" s="1" t="s">
        <v>7325</v>
      </c>
      <c r="J587" s="17" t="s">
        <v>268</v>
      </c>
      <c r="K587" s="17" t="s">
        <v>7110</v>
      </c>
      <c r="L587" s="17"/>
      <c r="M587" s="17"/>
      <c r="N587" s="52" t="s">
        <v>7326</v>
      </c>
      <c r="O587" s="17" t="s">
        <v>86</v>
      </c>
      <c r="P587" s="17" t="s">
        <v>86</v>
      </c>
      <c r="Q587" s="81" t="s">
        <v>5137</v>
      </c>
      <c r="R587" s="11">
        <v>30.964024999999999</v>
      </c>
      <c r="S587" s="11">
        <v>-87.180892999999998</v>
      </c>
      <c r="T587" s="11" t="s">
        <v>7327</v>
      </c>
      <c r="U587" s="11" t="s">
        <v>7328</v>
      </c>
      <c r="V587" s="17" t="s">
        <v>7329</v>
      </c>
      <c r="W587" s="17" t="s">
        <v>110</v>
      </c>
      <c r="X587" s="70">
        <v>198.1</v>
      </c>
      <c r="Y587" s="70">
        <v>185</v>
      </c>
      <c r="Z587" s="13">
        <v>26379</v>
      </c>
      <c r="AA587" s="13">
        <v>26425</v>
      </c>
      <c r="AB587" s="13"/>
      <c r="AC587" s="13">
        <v>30103</v>
      </c>
      <c r="AD587" s="86">
        <v>7111</v>
      </c>
      <c r="AE587" s="86">
        <v>7111</v>
      </c>
      <c r="AF587" s="70" t="s">
        <v>7330</v>
      </c>
      <c r="AG587" s="17" t="s">
        <v>7331</v>
      </c>
      <c r="AH587" s="17" t="s">
        <v>94</v>
      </c>
      <c r="AI587" s="70" t="s">
        <v>7332</v>
      </c>
      <c r="AJ587" s="17" t="s">
        <v>7333</v>
      </c>
      <c r="AK587" s="17" t="s">
        <v>94</v>
      </c>
      <c r="AL587" s="17" t="s">
        <v>94</v>
      </c>
      <c r="AM587" s="17" t="s">
        <v>94</v>
      </c>
      <c r="AN587" s="17" t="s">
        <v>94</v>
      </c>
      <c r="AO587" s="17" t="s">
        <v>98</v>
      </c>
      <c r="AP587" s="17" t="s">
        <v>98</v>
      </c>
      <c r="AQ587" s="17" t="s">
        <v>98</v>
      </c>
      <c r="AR587" s="17" t="s">
        <v>7334</v>
      </c>
      <c r="AS587" s="17" t="s">
        <v>7335</v>
      </c>
      <c r="AT587" s="17"/>
      <c r="AU587" s="30" t="s">
        <v>7336</v>
      </c>
      <c r="AV587" s="14" t="s">
        <v>94</v>
      </c>
      <c r="AW587" s="74"/>
      <c r="AX587" s="1"/>
      <c r="AY587" s="17" t="s">
        <v>101</v>
      </c>
    </row>
    <row r="588" spans="1:51" ht="12.75" customHeight="1" x14ac:dyDescent="0.25">
      <c r="A588" s="5">
        <v>571</v>
      </c>
      <c r="B588" s="9">
        <v>571</v>
      </c>
      <c r="C588" s="9" t="s">
        <v>7337</v>
      </c>
      <c r="D588" s="57" t="str">
        <f>HYPERLINK("http://prodenv.dep.state.fl.us/DepNexus/public/electronic-documents/OG_571/facility!search","OG_571_Docs")</f>
        <v>OG_571_Docs</v>
      </c>
      <c r="E588" s="57" t="str">
        <f>HYPERLINK("https://ca.dep.state.fl.us/mapdirect/?focus=oilandgas&amp;zoom=query&amp;querytype=oilandgas&amp;queryvalues=OG_571","OG_571_Map")</f>
        <v>OG_571_Map</v>
      </c>
      <c r="F588" s="1" t="s">
        <v>314</v>
      </c>
      <c r="G588" s="1" t="s">
        <v>79</v>
      </c>
      <c r="H588" s="1" t="s">
        <v>7338</v>
      </c>
      <c r="I588" s="1" t="s">
        <v>7339</v>
      </c>
      <c r="J588" s="17" t="s">
        <v>207</v>
      </c>
      <c r="K588" s="17" t="s">
        <v>208</v>
      </c>
      <c r="L588" s="17"/>
      <c r="M588" s="17" t="s">
        <v>207</v>
      </c>
      <c r="N588" s="52" t="s">
        <v>86</v>
      </c>
      <c r="O588" s="17" t="s">
        <v>86</v>
      </c>
      <c r="P588" s="17" t="s">
        <v>86</v>
      </c>
      <c r="Q588" s="81" t="s">
        <v>7340</v>
      </c>
      <c r="R588" s="11">
        <v>30.944941</v>
      </c>
      <c r="S588" s="11">
        <v>-86.258888999999996</v>
      </c>
      <c r="T588" s="11" t="s">
        <v>7341</v>
      </c>
      <c r="U588" s="11" t="s">
        <v>7342</v>
      </c>
      <c r="V588" s="17" t="s">
        <v>7343</v>
      </c>
      <c r="W588" s="17" t="s">
        <v>110</v>
      </c>
      <c r="X588" s="70"/>
      <c r="Y588" s="70"/>
      <c r="Z588" s="13">
        <v>26379</v>
      </c>
      <c r="AA588" s="13"/>
      <c r="AB588" s="13"/>
      <c r="AC588" s="13"/>
      <c r="AD588" s="86"/>
      <c r="AE588" s="70"/>
      <c r="AF588" s="70" t="s">
        <v>207</v>
      </c>
      <c r="AG588" s="14" t="s">
        <v>207</v>
      </c>
      <c r="AH588" s="14" t="s">
        <v>207</v>
      </c>
      <c r="AI588" s="70" t="s">
        <v>207</v>
      </c>
      <c r="AJ588" s="14" t="s">
        <v>207</v>
      </c>
      <c r="AK588" s="14" t="s">
        <v>207</v>
      </c>
      <c r="AL588" s="14" t="s">
        <v>207</v>
      </c>
      <c r="AM588" s="14" t="s">
        <v>207</v>
      </c>
      <c r="AN588" s="14" t="s">
        <v>207</v>
      </c>
      <c r="AO588" s="14" t="s">
        <v>207</v>
      </c>
      <c r="AP588" s="14" t="s">
        <v>207</v>
      </c>
      <c r="AQ588" s="14" t="s">
        <v>207</v>
      </c>
      <c r="AR588" s="14" t="s">
        <v>207</v>
      </c>
      <c r="AS588" s="14" t="s">
        <v>207</v>
      </c>
      <c r="AT588" s="14" t="s">
        <v>207</v>
      </c>
      <c r="AU588" s="30" t="s">
        <v>7344</v>
      </c>
      <c r="AV588" s="14" t="s">
        <v>207</v>
      </c>
      <c r="AW588" s="74"/>
      <c r="AX588" s="1"/>
      <c r="AY588" s="17" t="s">
        <v>101</v>
      </c>
    </row>
    <row r="589" spans="1:51" ht="12.75" customHeight="1" x14ac:dyDescent="0.25">
      <c r="A589" s="5">
        <v>572</v>
      </c>
      <c r="B589" s="9">
        <v>572</v>
      </c>
      <c r="C589" s="9" t="s">
        <v>7345</v>
      </c>
      <c r="D589" s="57" t="str">
        <f>HYPERLINK("http://prodenv.dep.state.fl.us/DepNexus/public/electronic-documents/OG_572/facility!search","OG_572_Docs")</f>
        <v>OG_572_Docs</v>
      </c>
      <c r="E589" s="57" t="str">
        <f>HYPERLINK("https://ca.dep.state.fl.us/mapdirect/?focus=oilandgas&amp;zoom=query&amp;querytype=oilandgas&amp;queryvalues=OG_572","OG_572_Map")</f>
        <v>OG_572_Map</v>
      </c>
      <c r="F589" s="1" t="s">
        <v>1682</v>
      </c>
      <c r="G589" s="1" t="s">
        <v>5133</v>
      </c>
      <c r="H589" s="1" t="s">
        <v>1363</v>
      </c>
      <c r="I589" s="1" t="s">
        <v>7346</v>
      </c>
      <c r="J589" s="17" t="s">
        <v>5135</v>
      </c>
      <c r="K589" s="17" t="s">
        <v>4266</v>
      </c>
      <c r="L589" s="17"/>
      <c r="M589" s="17"/>
      <c r="N589" s="52" t="s">
        <v>5396</v>
      </c>
      <c r="O589" s="17" t="s">
        <v>86</v>
      </c>
      <c r="P589" s="17" t="s">
        <v>86</v>
      </c>
      <c r="Q589" s="81" t="s">
        <v>7347</v>
      </c>
      <c r="R589" s="11">
        <v>30.986481999999999</v>
      </c>
      <c r="S589" s="11">
        <v>-87.217326999999997</v>
      </c>
      <c r="T589" s="11" t="s">
        <v>7348</v>
      </c>
      <c r="U589" s="11" t="s">
        <v>7349</v>
      </c>
      <c r="V589" s="17" t="s">
        <v>7350</v>
      </c>
      <c r="W589" s="17" t="s">
        <v>110</v>
      </c>
      <c r="X589" s="70">
        <v>86.27</v>
      </c>
      <c r="Y589" s="70">
        <v>58.02</v>
      </c>
      <c r="Z589" s="13">
        <v>26379</v>
      </c>
      <c r="AA589" s="13">
        <v>26452</v>
      </c>
      <c r="AB589" s="13">
        <v>26510</v>
      </c>
      <c r="AC589" s="13"/>
      <c r="AD589" s="86">
        <v>15912</v>
      </c>
      <c r="AE589" s="86">
        <v>15912</v>
      </c>
      <c r="AF589" s="70" t="s">
        <v>797</v>
      </c>
      <c r="AG589" s="17" t="s">
        <v>7351</v>
      </c>
      <c r="AH589" s="17" t="s">
        <v>94</v>
      </c>
      <c r="AI589" s="70" t="s">
        <v>7317</v>
      </c>
      <c r="AJ589" s="17" t="s">
        <v>7352</v>
      </c>
      <c r="AK589" s="17" t="s">
        <v>95</v>
      </c>
      <c r="AL589" s="17" t="s">
        <v>7353</v>
      </c>
      <c r="AM589" s="17" t="s">
        <v>95</v>
      </c>
      <c r="AN589" s="17" t="s">
        <v>94</v>
      </c>
      <c r="AO589" s="17" t="s">
        <v>7354</v>
      </c>
      <c r="AP589" s="17" t="s">
        <v>7355</v>
      </c>
      <c r="AQ589" s="17" t="s">
        <v>5042</v>
      </c>
      <c r="AR589" s="17" t="s">
        <v>7356</v>
      </c>
      <c r="AS589" s="17"/>
      <c r="AT589" s="17"/>
      <c r="AU589" s="30" t="s">
        <v>7357</v>
      </c>
      <c r="AV589" s="14">
        <v>11450</v>
      </c>
      <c r="AW589" s="74">
        <v>309827</v>
      </c>
      <c r="AX589" s="1" t="s">
        <v>7358</v>
      </c>
      <c r="AY589" s="17" t="s">
        <v>101</v>
      </c>
    </row>
    <row r="590" spans="1:51" ht="15" customHeight="1" x14ac:dyDescent="0.25">
      <c r="A590" s="5">
        <v>573</v>
      </c>
      <c r="B590" s="9">
        <v>573</v>
      </c>
      <c r="C590" s="9" t="s">
        <v>7359</v>
      </c>
      <c r="D590" s="57" t="str">
        <f>HYPERLINK("http://prodenv.dep.state.fl.us/DepNexus/public/electronic-documents/OG_573/facility!search","OG_573_Docs")</f>
        <v>OG_573_Docs</v>
      </c>
      <c r="E590" s="57" t="str">
        <f>HYPERLINK("https://ca.dep.state.fl.us/mapdirect/?focus=oilandgas&amp;zoom=query&amp;querytype=oilandgas&amp;queryvalues=OG_573","OG_573_Map")</f>
        <v>OG_573_Map</v>
      </c>
      <c r="F590" s="1" t="s">
        <v>1682</v>
      </c>
      <c r="G590" s="1" t="s">
        <v>5133</v>
      </c>
      <c r="H590" s="1" t="s">
        <v>5605</v>
      </c>
      <c r="I590" s="1" t="s">
        <v>7360</v>
      </c>
      <c r="J590" s="17" t="s">
        <v>82</v>
      </c>
      <c r="K590" s="17" t="s">
        <v>83</v>
      </c>
      <c r="L590" s="17"/>
      <c r="M590" s="17" t="s">
        <v>101</v>
      </c>
      <c r="N590" s="52" t="s">
        <v>6046</v>
      </c>
      <c r="O590" s="17" t="s">
        <v>86</v>
      </c>
      <c r="P590" s="17" t="s">
        <v>86</v>
      </c>
      <c r="Q590" s="81" t="s">
        <v>1685</v>
      </c>
      <c r="R590" s="11">
        <v>30.994464000000001</v>
      </c>
      <c r="S590" s="11">
        <v>-87.210251999999997</v>
      </c>
      <c r="T590" s="11" t="s">
        <v>7361</v>
      </c>
      <c r="U590" s="11" t="s">
        <v>7362</v>
      </c>
      <c r="V590" s="17" t="s">
        <v>7363</v>
      </c>
      <c r="W590" s="17" t="s">
        <v>110</v>
      </c>
      <c r="X590" s="70">
        <v>82.4</v>
      </c>
      <c r="Y590" s="70">
        <v>60.22</v>
      </c>
      <c r="Z590" s="13">
        <v>26379</v>
      </c>
      <c r="AA590" s="13">
        <v>26451</v>
      </c>
      <c r="AB590" s="13">
        <v>26576</v>
      </c>
      <c r="AC590" s="13">
        <v>26505</v>
      </c>
      <c r="AD590" s="86">
        <v>15519</v>
      </c>
      <c r="AE590" s="86">
        <v>15519</v>
      </c>
      <c r="AF590" s="70" t="s">
        <v>7364</v>
      </c>
      <c r="AG590" s="17" t="s">
        <v>7365</v>
      </c>
      <c r="AH590" s="17" t="s">
        <v>94</v>
      </c>
      <c r="AI590" s="70" t="s">
        <v>7366</v>
      </c>
      <c r="AJ590" s="17" t="s">
        <v>7367</v>
      </c>
      <c r="AK590" s="17" t="s">
        <v>95</v>
      </c>
      <c r="AL590" s="17" t="s">
        <v>7368</v>
      </c>
      <c r="AM590" s="17" t="s">
        <v>95</v>
      </c>
      <c r="AN590" s="17" t="s">
        <v>94</v>
      </c>
      <c r="AO590" s="17" t="s">
        <v>98</v>
      </c>
      <c r="AP590" s="17" t="s">
        <v>98</v>
      </c>
      <c r="AQ590" s="17" t="s">
        <v>98</v>
      </c>
      <c r="AR590" s="17" t="s">
        <v>7369</v>
      </c>
      <c r="AS590" s="17" t="s">
        <v>7370</v>
      </c>
      <c r="AT590" s="17"/>
      <c r="AU590" s="30" t="s">
        <v>7371</v>
      </c>
      <c r="AV590" s="14">
        <v>11449</v>
      </c>
      <c r="AW590" s="74"/>
      <c r="AX590" s="1"/>
      <c r="AY590" s="17" t="s">
        <v>101</v>
      </c>
    </row>
    <row r="591" spans="1:51" ht="12.75" customHeight="1" x14ac:dyDescent="0.25">
      <c r="A591" s="5">
        <v>573.1</v>
      </c>
      <c r="B591" s="9" t="s">
        <v>7372</v>
      </c>
      <c r="C591" s="9" t="s">
        <v>7359</v>
      </c>
      <c r="D591" s="57" t="str">
        <f>HYPERLINK("http://prodenv.dep.state.fl.us/DepNexus/public/electronic-documents/OG_573/facility!search","OG_573_Docs")</f>
        <v>OG_573_Docs</v>
      </c>
      <c r="E591" s="57" t="str">
        <f>HYPERLINK("https://ca.dep.state.fl.us/mapdirect/?focus=oilandgas&amp;zoom=query&amp;querytype=oilandgas&amp;queryvalues=OG_573","OG_573_Map")</f>
        <v>OG_573_Map</v>
      </c>
      <c r="F591" s="1" t="s">
        <v>1682</v>
      </c>
      <c r="G591" s="1" t="s">
        <v>5133</v>
      </c>
      <c r="H591" s="1" t="s">
        <v>5605</v>
      </c>
      <c r="I591" s="1" t="s">
        <v>7373</v>
      </c>
      <c r="J591" s="17" t="s">
        <v>268</v>
      </c>
      <c r="K591" s="17" t="s">
        <v>2105</v>
      </c>
      <c r="L591" s="17"/>
      <c r="M591" s="17"/>
      <c r="N591" s="52" t="s">
        <v>6529</v>
      </c>
      <c r="O591" s="17" t="s">
        <v>86</v>
      </c>
      <c r="P591" s="17" t="s">
        <v>86</v>
      </c>
      <c r="Q591" s="81" t="s">
        <v>1685</v>
      </c>
      <c r="R591" s="11">
        <v>30.994464000000001</v>
      </c>
      <c r="S591" s="11">
        <v>-87.210251999999997</v>
      </c>
      <c r="T591" s="11" t="s">
        <v>7361</v>
      </c>
      <c r="U591" s="11" t="s">
        <v>7362</v>
      </c>
      <c r="V591" s="17" t="s">
        <v>7363</v>
      </c>
      <c r="W591" s="17" t="s">
        <v>7374</v>
      </c>
      <c r="X591" s="70">
        <v>82.4</v>
      </c>
      <c r="Y591" s="70">
        <v>60.22</v>
      </c>
      <c r="Z591" s="13">
        <v>26540</v>
      </c>
      <c r="AA591" s="13">
        <v>26491</v>
      </c>
      <c r="AB591" s="13">
        <v>26570</v>
      </c>
      <c r="AC591" s="13">
        <v>26566</v>
      </c>
      <c r="AD591" s="70"/>
      <c r="AE591" s="86">
        <v>15804</v>
      </c>
      <c r="AF591" s="70" t="s">
        <v>7364</v>
      </c>
      <c r="AG591" s="17" t="s">
        <v>7375</v>
      </c>
      <c r="AH591" s="17" t="s">
        <v>94</v>
      </c>
      <c r="AI591" s="70" t="s">
        <v>7376</v>
      </c>
      <c r="AJ591" s="17"/>
      <c r="AK591" s="17" t="s">
        <v>94</v>
      </c>
      <c r="AL591" s="17" t="s">
        <v>94</v>
      </c>
      <c r="AM591" s="17" t="s">
        <v>94</v>
      </c>
      <c r="AN591" s="17" t="s">
        <v>94</v>
      </c>
      <c r="AO591" s="17" t="s">
        <v>6742</v>
      </c>
      <c r="AP591" s="17" t="s">
        <v>7377</v>
      </c>
      <c r="AQ591" s="17" t="s">
        <v>7378</v>
      </c>
      <c r="AR591" s="17" t="s">
        <v>7379</v>
      </c>
      <c r="AS591" s="17" t="s">
        <v>7380</v>
      </c>
      <c r="AT591" s="17"/>
      <c r="AU591" s="30" t="s">
        <v>7381</v>
      </c>
      <c r="AV591" s="14" t="s">
        <v>94</v>
      </c>
      <c r="AW591" s="74"/>
      <c r="AX591" s="1"/>
      <c r="AY591" s="17" t="s">
        <v>101</v>
      </c>
    </row>
    <row r="592" spans="1:51" ht="15" customHeight="1" x14ac:dyDescent="0.25">
      <c r="A592" s="5">
        <v>573.20000000000005</v>
      </c>
      <c r="B592" s="9" t="s">
        <v>7382</v>
      </c>
      <c r="C592" s="9" t="s">
        <v>7359</v>
      </c>
      <c r="D592" s="57" t="str">
        <f>HYPERLINK("http://prodenv.dep.state.fl.us/DepNexus/public/electronic-documents/OG_573/facility!search","OG_573_Docs")</f>
        <v>OG_573_Docs</v>
      </c>
      <c r="E592" s="57" t="str">
        <f>HYPERLINK("https://ca.dep.state.fl.us/mapdirect/?focus=oilandgas&amp;zoom=query&amp;querytype=oilandgas&amp;queryvalues=OG_573","OG_573_Map")</f>
        <v>OG_573_Map</v>
      </c>
      <c r="F592" s="1" t="s">
        <v>1682</v>
      </c>
      <c r="G592" s="1" t="s">
        <v>5133</v>
      </c>
      <c r="H592" s="1" t="s">
        <v>5605</v>
      </c>
      <c r="I592" s="1" t="s">
        <v>7383</v>
      </c>
      <c r="J592" s="17" t="s">
        <v>268</v>
      </c>
      <c r="K592" s="17" t="s">
        <v>412</v>
      </c>
      <c r="L592" s="17"/>
      <c r="M592" s="17"/>
      <c r="N592" s="52" t="s">
        <v>7384</v>
      </c>
      <c r="O592" s="17" t="s">
        <v>86</v>
      </c>
      <c r="P592" s="17" t="s">
        <v>86</v>
      </c>
      <c r="Q592" s="81" t="s">
        <v>1685</v>
      </c>
      <c r="R592" s="11">
        <v>30.994464000000001</v>
      </c>
      <c r="S592" s="11">
        <v>-87.210251999999997</v>
      </c>
      <c r="T592" s="11" t="s">
        <v>7361</v>
      </c>
      <c r="U592" s="11" t="s">
        <v>7362</v>
      </c>
      <c r="V592" s="17" t="s">
        <v>7363</v>
      </c>
      <c r="W592" s="17" t="s">
        <v>7385</v>
      </c>
      <c r="X592" s="70">
        <v>82.4</v>
      </c>
      <c r="Y592" s="70">
        <v>60.22</v>
      </c>
      <c r="Z592" s="13">
        <v>27442</v>
      </c>
      <c r="AA592" s="13">
        <v>27447</v>
      </c>
      <c r="AB592" s="13">
        <v>27526</v>
      </c>
      <c r="AC592" s="13">
        <v>40029</v>
      </c>
      <c r="AD592" s="86">
        <v>15382</v>
      </c>
      <c r="AE592" s="70">
        <v>15465</v>
      </c>
      <c r="AF592" s="70" t="s">
        <v>7364</v>
      </c>
      <c r="AG592" s="17" t="s">
        <v>7375</v>
      </c>
      <c r="AH592" s="17" t="s">
        <v>94</v>
      </c>
      <c r="AI592" s="70" t="s">
        <v>7386</v>
      </c>
      <c r="AJ592" s="17" t="s">
        <v>7387</v>
      </c>
      <c r="AK592" s="17" t="s">
        <v>94</v>
      </c>
      <c r="AL592" s="17" t="s">
        <v>7388</v>
      </c>
      <c r="AM592" s="17" t="s">
        <v>95</v>
      </c>
      <c r="AN592" s="17" t="s">
        <v>94</v>
      </c>
      <c r="AO592" s="17" t="s">
        <v>7389</v>
      </c>
      <c r="AP592" s="17" t="s">
        <v>7390</v>
      </c>
      <c r="AQ592" s="17" t="s">
        <v>6702</v>
      </c>
      <c r="AR592" s="17" t="s">
        <v>7369</v>
      </c>
      <c r="AS592" s="17" t="s">
        <v>7391</v>
      </c>
      <c r="AT592" s="17"/>
      <c r="AU592" s="30" t="s">
        <v>7392</v>
      </c>
      <c r="AV592" s="14" t="s">
        <v>94</v>
      </c>
      <c r="AW592" s="74"/>
      <c r="AX592" s="1"/>
      <c r="AY592" s="17" t="s">
        <v>101</v>
      </c>
    </row>
    <row r="593" spans="1:51" ht="15" customHeight="1" x14ac:dyDescent="0.25">
      <c r="A593" s="5">
        <v>574</v>
      </c>
      <c r="B593" s="9">
        <v>574</v>
      </c>
      <c r="C593" s="9" t="s">
        <v>7393</v>
      </c>
      <c r="D593" s="57" t="str">
        <f>HYPERLINK("http://prodenv.dep.state.fl.us/DepNexus/public/electronic-documents/OG_574/facility!search","OG_574_Docs")</f>
        <v>OG_574_Docs</v>
      </c>
      <c r="E593" s="57" t="str">
        <f>HYPERLINK("https://ca.dep.state.fl.us/mapdirect/?focus=oilandgas&amp;zoom=query&amp;querytype=oilandgas&amp;queryvalues=OG_574","OG_574_Map")</f>
        <v>OG_574_Map</v>
      </c>
      <c r="F593" s="1" t="s">
        <v>7394</v>
      </c>
      <c r="G593" s="1" t="s">
        <v>79</v>
      </c>
      <c r="H593" s="1" t="s">
        <v>7395</v>
      </c>
      <c r="I593" s="1" t="s">
        <v>7396</v>
      </c>
      <c r="J593" s="17" t="s">
        <v>82</v>
      </c>
      <c r="K593" s="17" t="s">
        <v>83</v>
      </c>
      <c r="L593" s="17"/>
      <c r="M593" s="17"/>
      <c r="N593" s="52" t="s">
        <v>5949</v>
      </c>
      <c r="O593" s="17" t="s">
        <v>86</v>
      </c>
      <c r="P593" s="17" t="s">
        <v>86</v>
      </c>
      <c r="Q593" s="81" t="s">
        <v>7397</v>
      </c>
      <c r="R593" s="11">
        <v>28.711779</v>
      </c>
      <c r="S593" s="11">
        <v>-81.673744999999997</v>
      </c>
      <c r="T593" s="11" t="s">
        <v>7398</v>
      </c>
      <c r="U593" s="11" t="s">
        <v>7399</v>
      </c>
      <c r="V593" s="17" t="s">
        <v>7400</v>
      </c>
      <c r="W593" s="17" t="s">
        <v>110</v>
      </c>
      <c r="X593" s="70">
        <v>80.8</v>
      </c>
      <c r="Y593" s="70">
        <v>73.8</v>
      </c>
      <c r="Z593" s="13">
        <v>26379</v>
      </c>
      <c r="AA593" s="13">
        <v>26426</v>
      </c>
      <c r="AB593" s="13">
        <v>26455</v>
      </c>
      <c r="AC593" s="13">
        <v>26455</v>
      </c>
      <c r="AD593" s="86">
        <v>5397</v>
      </c>
      <c r="AE593" s="86">
        <v>5397</v>
      </c>
      <c r="AF593" s="70" t="s">
        <v>7401</v>
      </c>
      <c r="AG593" s="17" t="s">
        <v>7402</v>
      </c>
      <c r="AH593" s="17" t="s">
        <v>7403</v>
      </c>
      <c r="AI593" s="70" t="s">
        <v>7404</v>
      </c>
      <c r="AJ593" s="17" t="s">
        <v>94</v>
      </c>
      <c r="AK593" s="17" t="s">
        <v>95</v>
      </c>
      <c r="AL593" s="17" t="s">
        <v>94</v>
      </c>
      <c r="AM593" s="17" t="s">
        <v>94</v>
      </c>
      <c r="AN593" s="17" t="s">
        <v>7405</v>
      </c>
      <c r="AO593" s="17" t="s">
        <v>98</v>
      </c>
      <c r="AP593" s="17" t="s">
        <v>98</v>
      </c>
      <c r="AQ593" s="17" t="s">
        <v>98</v>
      </c>
      <c r="AR593" s="17" t="s">
        <v>94</v>
      </c>
      <c r="AS593" s="17" t="s">
        <v>7406</v>
      </c>
      <c r="AT593" s="17">
        <v>121</v>
      </c>
      <c r="AU593" s="30" t="s">
        <v>7407</v>
      </c>
      <c r="AV593" s="14">
        <v>11499</v>
      </c>
      <c r="AW593" s="74"/>
      <c r="AX593" s="1"/>
      <c r="AY593" s="17" t="s">
        <v>101</v>
      </c>
    </row>
    <row r="594" spans="1:51" ht="12.75" customHeight="1" x14ac:dyDescent="0.25">
      <c r="A594" s="5">
        <v>575</v>
      </c>
      <c r="B594" s="9">
        <v>575</v>
      </c>
      <c r="C594" s="9" t="s">
        <v>7408</v>
      </c>
      <c r="D594" s="57" t="str">
        <f>HYPERLINK("http://prodenv.dep.state.fl.us/DepNexus/public/electronic-documents/OG_575/facility!search","OG_575_Docs")</f>
        <v>OG_575_Docs</v>
      </c>
      <c r="E594" s="57" t="str">
        <f>HYPERLINK("https://ca.dep.state.fl.us/mapdirect/?focus=oilandgas&amp;zoom=query&amp;querytype=oilandgas&amp;queryvalues=OG_575","OG_575_Map")</f>
        <v>OG_575_Map</v>
      </c>
      <c r="F594" s="1" t="s">
        <v>1682</v>
      </c>
      <c r="G594" s="1" t="s">
        <v>5133</v>
      </c>
      <c r="H594" s="1" t="s">
        <v>5605</v>
      </c>
      <c r="I594" s="1" t="s">
        <v>7409</v>
      </c>
      <c r="J594" s="17" t="s">
        <v>268</v>
      </c>
      <c r="K594" s="17" t="s">
        <v>4266</v>
      </c>
      <c r="L594" s="17"/>
      <c r="M594" s="17"/>
      <c r="N594" s="52" t="s">
        <v>7410</v>
      </c>
      <c r="O594" s="17" t="s">
        <v>86</v>
      </c>
      <c r="P594" s="17" t="s">
        <v>86</v>
      </c>
      <c r="Q594" s="81" t="s">
        <v>7411</v>
      </c>
      <c r="R594" s="11">
        <v>30.983238</v>
      </c>
      <c r="S594" s="11">
        <v>-87.206926999999993</v>
      </c>
      <c r="T594" s="11" t="s">
        <v>7412</v>
      </c>
      <c r="U594" s="11" t="s">
        <v>7413</v>
      </c>
      <c r="V594" s="17" t="s">
        <v>7414</v>
      </c>
      <c r="W594" s="17" t="s">
        <v>110</v>
      </c>
      <c r="X594" s="70">
        <v>86.66</v>
      </c>
      <c r="Y594" s="70">
        <v>59.16</v>
      </c>
      <c r="Z594" s="13">
        <v>26386</v>
      </c>
      <c r="AA594" s="13">
        <v>26482</v>
      </c>
      <c r="AB594" s="13">
        <v>26590</v>
      </c>
      <c r="AC594" s="13">
        <v>37420</v>
      </c>
      <c r="AD594" s="86">
        <v>15831</v>
      </c>
      <c r="AE594" s="86">
        <v>15831</v>
      </c>
      <c r="AF594" s="70" t="s">
        <v>6305</v>
      </c>
      <c r="AG594" s="17" t="s">
        <v>7415</v>
      </c>
      <c r="AH594" s="17" t="s">
        <v>94</v>
      </c>
      <c r="AI594" s="70" t="s">
        <v>7416</v>
      </c>
      <c r="AJ594" s="17" t="s">
        <v>7417</v>
      </c>
      <c r="AK594" s="17" t="s">
        <v>94</v>
      </c>
      <c r="AL594" s="17" t="s">
        <v>7418</v>
      </c>
      <c r="AM594" s="17" t="s">
        <v>95</v>
      </c>
      <c r="AN594" s="17" t="s">
        <v>94</v>
      </c>
      <c r="AO594" s="17" t="s">
        <v>7419</v>
      </c>
      <c r="AP594" s="17" t="s">
        <v>7420</v>
      </c>
      <c r="AQ594" s="17" t="s">
        <v>3999</v>
      </c>
      <c r="AR594" s="17" t="s">
        <v>7421</v>
      </c>
      <c r="AS594" s="17" t="s">
        <v>7422</v>
      </c>
      <c r="AT594" s="17"/>
      <c r="AU594" s="30" t="s">
        <v>7423</v>
      </c>
      <c r="AV594" s="14">
        <v>11616</v>
      </c>
      <c r="AW594" s="74"/>
      <c r="AX594" s="1" t="s">
        <v>7424</v>
      </c>
      <c r="AY594" s="17" t="s">
        <v>101</v>
      </c>
    </row>
    <row r="595" spans="1:51" ht="15" customHeight="1" x14ac:dyDescent="0.25">
      <c r="A595" s="5">
        <v>576</v>
      </c>
      <c r="B595" s="9">
        <v>576</v>
      </c>
      <c r="C595" s="9" t="s">
        <v>7425</v>
      </c>
      <c r="D595" s="57" t="str">
        <f>HYPERLINK("http://prodenv.dep.state.fl.us/DepNexus/public/electronic-documents/OG_576/facility!search","OG_576_Docs")</f>
        <v>OG_576_Docs</v>
      </c>
      <c r="E595" s="57" t="str">
        <f>HYPERLINK("https://ca.dep.state.fl.us/mapdirect/?focus=oilandgas&amp;zoom=query&amp;querytype=oilandgas&amp;queryvalues=OG_576","OG_576_Map")</f>
        <v>OG_576_Map</v>
      </c>
      <c r="F595" s="1" t="s">
        <v>1682</v>
      </c>
      <c r="G595" s="1" t="s">
        <v>5133</v>
      </c>
      <c r="H595" s="1" t="s">
        <v>5605</v>
      </c>
      <c r="I595" s="1" t="s">
        <v>7426</v>
      </c>
      <c r="J595" s="17" t="s">
        <v>268</v>
      </c>
      <c r="K595" s="17" t="s">
        <v>412</v>
      </c>
      <c r="L595" s="17"/>
      <c r="M595" s="17"/>
      <c r="N595" s="52" t="s">
        <v>6046</v>
      </c>
      <c r="O595" s="17" t="s">
        <v>86</v>
      </c>
      <c r="P595" s="17" t="s">
        <v>86</v>
      </c>
      <c r="Q595" s="81" t="s">
        <v>7427</v>
      </c>
      <c r="R595" s="11">
        <v>30.982873999999999</v>
      </c>
      <c r="S595" s="11">
        <v>-87.207065999999998</v>
      </c>
      <c r="T595" s="11" t="s">
        <v>7428</v>
      </c>
      <c r="U595" s="11" t="s">
        <v>7429</v>
      </c>
      <c r="V595" s="17" t="s">
        <v>7430</v>
      </c>
      <c r="W595" s="17" t="s">
        <v>7431</v>
      </c>
      <c r="X595" s="70">
        <v>86.23</v>
      </c>
      <c r="Y595" s="70">
        <v>60.73</v>
      </c>
      <c r="Z595" s="13">
        <v>26386</v>
      </c>
      <c r="AA595" s="13">
        <v>26397</v>
      </c>
      <c r="AB595" s="13">
        <v>26619</v>
      </c>
      <c r="AC595" s="13">
        <v>38040</v>
      </c>
      <c r="AD595" s="86">
        <v>15772</v>
      </c>
      <c r="AE595" s="86">
        <v>15935</v>
      </c>
      <c r="AF595" s="70" t="s">
        <v>797</v>
      </c>
      <c r="AG595" s="17" t="s">
        <v>7432</v>
      </c>
      <c r="AH595" s="17" t="s">
        <v>94</v>
      </c>
      <c r="AI595" s="70" t="s">
        <v>7433</v>
      </c>
      <c r="AJ595" s="17" t="s">
        <v>7434</v>
      </c>
      <c r="AK595" s="17" t="s">
        <v>95</v>
      </c>
      <c r="AL595" s="17" t="s">
        <v>7435</v>
      </c>
      <c r="AM595" s="17" t="s">
        <v>95</v>
      </c>
      <c r="AN595" s="17" t="s">
        <v>94</v>
      </c>
      <c r="AO595" s="17" t="s">
        <v>7436</v>
      </c>
      <c r="AP595" s="17" t="s">
        <v>7437</v>
      </c>
      <c r="AQ595" s="17" t="s">
        <v>5369</v>
      </c>
      <c r="AR595" s="17" t="s">
        <v>7438</v>
      </c>
      <c r="AS595" s="17" t="s">
        <v>7439</v>
      </c>
      <c r="AT595" s="17"/>
      <c r="AU595" s="30" t="s">
        <v>7440</v>
      </c>
      <c r="AV595" s="14">
        <v>11375</v>
      </c>
      <c r="AW595" s="74"/>
      <c r="AX595" s="1"/>
      <c r="AY595" s="17" t="s">
        <v>101</v>
      </c>
    </row>
    <row r="596" spans="1:51" ht="15" customHeight="1" x14ac:dyDescent="0.25">
      <c r="A596" s="5">
        <v>577</v>
      </c>
      <c r="B596" s="9">
        <v>577</v>
      </c>
      <c r="C596" s="9" t="s">
        <v>7441</v>
      </c>
      <c r="D596" s="57" t="str">
        <f>HYPERLINK("http://prodenv.dep.state.fl.us/DepNexus/public/electronic-documents/OG_577/facility!search","OG_577_Docs")</f>
        <v>OG_577_Docs</v>
      </c>
      <c r="E596" s="57" t="str">
        <f>HYPERLINK("https://ca.dep.state.fl.us/mapdirect/?focus=oilandgas&amp;zoom=query&amp;querytype=oilandgas&amp;queryvalues=OG_577","OG_577_Map")</f>
        <v>OG_577_Map</v>
      </c>
      <c r="F596" s="1" t="s">
        <v>1797</v>
      </c>
      <c r="G596" s="1" t="s">
        <v>1798</v>
      </c>
      <c r="H596" s="1" t="s">
        <v>5605</v>
      </c>
      <c r="I596" s="1" t="s">
        <v>7442</v>
      </c>
      <c r="J596" s="17" t="s">
        <v>207</v>
      </c>
      <c r="K596" s="17" t="s">
        <v>208</v>
      </c>
      <c r="L596" s="17"/>
      <c r="M596" s="17" t="s">
        <v>207</v>
      </c>
      <c r="N596" s="52" t="s">
        <v>86</v>
      </c>
      <c r="O596" s="17" t="s">
        <v>86</v>
      </c>
      <c r="P596" s="17" t="s">
        <v>86</v>
      </c>
      <c r="Q596" s="81" t="s">
        <v>7443</v>
      </c>
      <c r="R596" s="11">
        <v>30.976130999999999</v>
      </c>
      <c r="S596" s="11">
        <v>-87.118319</v>
      </c>
      <c r="T596" s="11" t="s">
        <v>7444</v>
      </c>
      <c r="U596" s="11" t="s">
        <v>7445</v>
      </c>
      <c r="V596" s="17" t="s">
        <v>5582</v>
      </c>
      <c r="W596" s="17" t="s">
        <v>110</v>
      </c>
      <c r="X596" s="70"/>
      <c r="Y596" s="70"/>
      <c r="Z596" s="13">
        <v>26386</v>
      </c>
      <c r="AA596" s="13"/>
      <c r="AB596" s="13"/>
      <c r="AC596" s="13"/>
      <c r="AD596" s="86"/>
      <c r="AE596" s="70"/>
      <c r="AF596" s="70" t="s">
        <v>207</v>
      </c>
      <c r="AG596" s="14" t="s">
        <v>207</v>
      </c>
      <c r="AH596" s="14" t="s">
        <v>207</v>
      </c>
      <c r="AI596" s="70" t="s">
        <v>207</v>
      </c>
      <c r="AJ596" s="14" t="s">
        <v>207</v>
      </c>
      <c r="AK596" s="14" t="s">
        <v>207</v>
      </c>
      <c r="AL596" s="14" t="s">
        <v>207</v>
      </c>
      <c r="AM596" s="14" t="s">
        <v>207</v>
      </c>
      <c r="AN596" s="14" t="s">
        <v>207</v>
      </c>
      <c r="AO596" s="14" t="s">
        <v>207</v>
      </c>
      <c r="AP596" s="14" t="s">
        <v>207</v>
      </c>
      <c r="AQ596" s="14" t="s">
        <v>207</v>
      </c>
      <c r="AR596" s="14" t="s">
        <v>207</v>
      </c>
      <c r="AS596" s="14" t="s">
        <v>207</v>
      </c>
      <c r="AT596" s="14" t="s">
        <v>207</v>
      </c>
      <c r="AU596" s="30" t="s">
        <v>7446</v>
      </c>
      <c r="AV596" s="14" t="s">
        <v>207</v>
      </c>
      <c r="AW596" s="74"/>
      <c r="AX596" s="1"/>
      <c r="AY596" s="17" t="s">
        <v>101</v>
      </c>
    </row>
    <row r="597" spans="1:51" ht="12.75" customHeight="1" x14ac:dyDescent="0.25">
      <c r="A597" s="5">
        <v>578</v>
      </c>
      <c r="B597" s="9">
        <v>578</v>
      </c>
      <c r="C597" s="9" t="s">
        <v>7447</v>
      </c>
      <c r="D597" s="57" t="str">
        <f>HYPERLINK("http://prodenv.dep.state.fl.us/DepNexus/public/electronic-documents/OG_578/facility!search","OG_578_Docs")</f>
        <v>OG_578_Docs</v>
      </c>
      <c r="E597" s="57" t="str">
        <f>HYPERLINK("https://ca.dep.state.fl.us/mapdirect/?focus=oilandgas&amp;zoom=query&amp;querytype=oilandgas&amp;queryvalues=OG_578","OG_578_Map")</f>
        <v>OG_578_Map</v>
      </c>
      <c r="F597" s="1" t="s">
        <v>1797</v>
      </c>
      <c r="G597" s="1" t="s">
        <v>6648</v>
      </c>
      <c r="H597" s="1" t="s">
        <v>6668</v>
      </c>
      <c r="I597" s="1" t="s">
        <v>7448</v>
      </c>
      <c r="J597" s="17" t="s">
        <v>6670</v>
      </c>
      <c r="K597" s="17" t="s">
        <v>6671</v>
      </c>
      <c r="L597" s="17"/>
      <c r="M597" s="17"/>
      <c r="N597" s="52" t="s">
        <v>6338</v>
      </c>
      <c r="O597" s="17" t="s">
        <v>86</v>
      </c>
      <c r="P597" s="17" t="s">
        <v>86</v>
      </c>
      <c r="Q597" s="81" t="s">
        <v>7449</v>
      </c>
      <c r="R597" s="11">
        <v>30.837948000000001</v>
      </c>
      <c r="S597" s="11">
        <v>-87.079419999999999</v>
      </c>
      <c r="T597" s="11" t="s">
        <v>7450</v>
      </c>
      <c r="U597" s="11" t="s">
        <v>7451</v>
      </c>
      <c r="V597" s="17" t="s">
        <v>7452</v>
      </c>
      <c r="W597" s="17" t="s">
        <v>110</v>
      </c>
      <c r="X597" s="70">
        <v>99</v>
      </c>
      <c r="Y597" s="70">
        <v>77</v>
      </c>
      <c r="Z597" s="13">
        <v>26393</v>
      </c>
      <c r="AA597" s="13">
        <v>26425</v>
      </c>
      <c r="AB597" s="13">
        <v>26484</v>
      </c>
      <c r="AC597" s="13">
        <v>45483</v>
      </c>
      <c r="AD597" s="86">
        <v>16250</v>
      </c>
      <c r="AE597" s="86">
        <v>16250</v>
      </c>
      <c r="AF597" s="70" t="s">
        <v>2031</v>
      </c>
      <c r="AG597" s="17" t="s">
        <v>7453</v>
      </c>
      <c r="AH597" s="17" t="s">
        <v>94</v>
      </c>
      <c r="AI597" s="70" t="s">
        <v>7454</v>
      </c>
      <c r="AJ597" s="17" t="s">
        <v>7455</v>
      </c>
      <c r="AK597" s="17" t="s">
        <v>95</v>
      </c>
      <c r="AL597" s="17" t="s">
        <v>7456</v>
      </c>
      <c r="AM597" s="17" t="s">
        <v>95</v>
      </c>
      <c r="AN597" s="17" t="s">
        <v>94</v>
      </c>
      <c r="AO597" s="17" t="s">
        <v>94</v>
      </c>
      <c r="AP597" s="17" t="s">
        <v>94</v>
      </c>
      <c r="AQ597" s="17" t="s">
        <v>94</v>
      </c>
      <c r="AR597" s="17" t="s">
        <v>7457</v>
      </c>
      <c r="AS597" s="17" t="s">
        <v>7458</v>
      </c>
      <c r="AT597" s="17"/>
      <c r="AU597" s="30" t="s">
        <v>7459</v>
      </c>
      <c r="AV597" s="14">
        <v>11726</v>
      </c>
      <c r="AW597" s="74">
        <v>303046</v>
      </c>
      <c r="AX597" s="1"/>
      <c r="AY597" s="17" t="s">
        <v>101</v>
      </c>
    </row>
    <row r="598" spans="1:51" ht="15" customHeight="1" x14ac:dyDescent="0.25">
      <c r="A598" s="5">
        <v>579</v>
      </c>
      <c r="B598" s="9">
        <v>579</v>
      </c>
      <c r="C598" s="9" t="s">
        <v>7460</v>
      </c>
      <c r="D598" s="57" t="str">
        <f>HYPERLINK("http://prodenv.dep.state.fl.us/DepNexus/public/electronic-documents/OG_579/facility!search","OG_579_Docs")</f>
        <v>OG_579_Docs</v>
      </c>
      <c r="E598" s="57" t="str">
        <f>HYPERLINK("https://ca.dep.state.fl.us/mapdirect/?focus=oilandgas&amp;zoom=query&amp;querytype=oilandgas&amp;queryvalues=OG_579","OG_579_Map")</f>
        <v>OG_579_Map</v>
      </c>
      <c r="F598" s="1" t="s">
        <v>1797</v>
      </c>
      <c r="G598" s="1" t="s">
        <v>79</v>
      </c>
      <c r="H598" s="1" t="s">
        <v>5474</v>
      </c>
      <c r="I598" s="1" t="s">
        <v>7461</v>
      </c>
      <c r="J598" s="17" t="s">
        <v>82</v>
      </c>
      <c r="K598" s="17" t="s">
        <v>83</v>
      </c>
      <c r="L598" s="17"/>
      <c r="M598" s="17"/>
      <c r="N598" s="52" t="s">
        <v>5949</v>
      </c>
      <c r="O598" s="17" t="s">
        <v>86</v>
      </c>
      <c r="P598" s="17" t="s">
        <v>86</v>
      </c>
      <c r="Q598" s="81" t="s">
        <v>7462</v>
      </c>
      <c r="R598" s="11">
        <v>30.774923000000001</v>
      </c>
      <c r="S598" s="11">
        <v>-87.072242000000003</v>
      </c>
      <c r="T598" s="11" t="s">
        <v>7463</v>
      </c>
      <c r="U598" s="11" t="s">
        <v>7464</v>
      </c>
      <c r="V598" s="17" t="s">
        <v>7465</v>
      </c>
      <c r="W598" s="17" t="s">
        <v>110</v>
      </c>
      <c r="X598" s="70">
        <v>254.8</v>
      </c>
      <c r="Y598" s="70">
        <v>232</v>
      </c>
      <c r="Z598" s="13">
        <v>26393</v>
      </c>
      <c r="AA598" s="13">
        <v>26413</v>
      </c>
      <c r="AB598" s="13"/>
      <c r="AC598" s="13">
        <v>26530</v>
      </c>
      <c r="AD598" s="86">
        <v>16725</v>
      </c>
      <c r="AE598" s="86">
        <v>16725</v>
      </c>
      <c r="AF598" s="70" t="s">
        <v>2703</v>
      </c>
      <c r="AG598" s="17" t="s">
        <v>7466</v>
      </c>
      <c r="AH598" s="17" t="s">
        <v>94</v>
      </c>
      <c r="AI598" s="70" t="s">
        <v>94</v>
      </c>
      <c r="AJ598" s="17" t="s">
        <v>94</v>
      </c>
      <c r="AK598" s="17" t="s">
        <v>95</v>
      </c>
      <c r="AL598" s="17" t="s">
        <v>7467</v>
      </c>
      <c r="AM598" s="17" t="s">
        <v>94</v>
      </c>
      <c r="AN598" s="17" t="s">
        <v>94</v>
      </c>
      <c r="AO598" s="17" t="s">
        <v>98</v>
      </c>
      <c r="AP598" s="17" t="s">
        <v>98</v>
      </c>
      <c r="AQ598" s="17" t="s">
        <v>98</v>
      </c>
      <c r="AR598" s="17" t="s">
        <v>94</v>
      </c>
      <c r="AS598" s="17" t="s">
        <v>7468</v>
      </c>
      <c r="AT598" s="17"/>
      <c r="AU598" s="30" t="s">
        <v>7469</v>
      </c>
      <c r="AV598" s="14">
        <v>11400</v>
      </c>
      <c r="AW598" s="74"/>
      <c r="AX598" s="1"/>
      <c r="AY598" s="17" t="s">
        <v>101</v>
      </c>
    </row>
    <row r="599" spans="1:51" ht="12.75" customHeight="1" x14ac:dyDescent="0.25">
      <c r="A599" s="5">
        <v>580</v>
      </c>
      <c r="B599" s="9">
        <v>580</v>
      </c>
      <c r="C599" s="9" t="s">
        <v>7470</v>
      </c>
      <c r="D599" s="57" t="str">
        <f>HYPERLINK("http://prodenv.dep.state.fl.us/DepNexus/public/electronic-documents/OG_580/facility!search","OG_580_Docs")</f>
        <v>OG_580_Docs</v>
      </c>
      <c r="E599" s="57" t="str">
        <f>HYPERLINK("https://ca.dep.state.fl.us/mapdirect/?focus=oilandgas&amp;zoom=query&amp;querytype=oilandgas&amp;queryvalues=OG_580","OG_580_Map")</f>
        <v>OG_580_Map</v>
      </c>
      <c r="F599" s="1" t="s">
        <v>1797</v>
      </c>
      <c r="G599" s="1" t="s">
        <v>5133</v>
      </c>
      <c r="H599" s="1" t="s">
        <v>1363</v>
      </c>
      <c r="I599" s="1" t="s">
        <v>7471</v>
      </c>
      <c r="J599" s="17" t="s">
        <v>3646</v>
      </c>
      <c r="K599" s="17" t="s">
        <v>412</v>
      </c>
      <c r="L599" s="17"/>
      <c r="M599" s="17"/>
      <c r="N599" s="52" t="s">
        <v>6046</v>
      </c>
      <c r="O599" s="17" t="s">
        <v>86</v>
      </c>
      <c r="P599" s="17" t="s">
        <v>86</v>
      </c>
      <c r="Q599" s="81" t="s">
        <v>7472</v>
      </c>
      <c r="R599" s="11">
        <v>30.936941999999998</v>
      </c>
      <c r="S599" s="11">
        <v>-87.149535</v>
      </c>
      <c r="T599" s="11" t="s">
        <v>7473</v>
      </c>
      <c r="U599" s="11" t="s">
        <v>7474</v>
      </c>
      <c r="V599" s="17" t="s">
        <v>7475</v>
      </c>
      <c r="W599" s="17" t="s">
        <v>110</v>
      </c>
      <c r="X599" s="70">
        <v>265.91000000000003</v>
      </c>
      <c r="Y599" s="70">
        <v>245.91</v>
      </c>
      <c r="Z599" s="13">
        <v>26400</v>
      </c>
      <c r="AA599" s="13">
        <v>26432</v>
      </c>
      <c r="AB599" s="13">
        <v>26497</v>
      </c>
      <c r="AC599" s="13"/>
      <c r="AD599" s="86">
        <v>15906</v>
      </c>
      <c r="AE599" s="86">
        <v>15906</v>
      </c>
      <c r="AF599" s="70" t="s">
        <v>2249</v>
      </c>
      <c r="AG599" s="17" t="s">
        <v>7476</v>
      </c>
      <c r="AH599" s="17" t="s">
        <v>94</v>
      </c>
      <c r="AI599" s="70" t="s">
        <v>7477</v>
      </c>
      <c r="AJ599" s="17" t="s">
        <v>7478</v>
      </c>
      <c r="AK599" s="17" t="s">
        <v>94</v>
      </c>
      <c r="AL599" s="17" t="s">
        <v>7479</v>
      </c>
      <c r="AM599" s="17" t="s">
        <v>94</v>
      </c>
      <c r="AN599" s="17" t="s">
        <v>94</v>
      </c>
      <c r="AO599" s="17" t="s">
        <v>7480</v>
      </c>
      <c r="AP599" s="17" t="s">
        <v>7481</v>
      </c>
      <c r="AQ599" s="17" t="s">
        <v>7184</v>
      </c>
      <c r="AR599" s="17" t="s">
        <v>7482</v>
      </c>
      <c r="AS599" s="17"/>
      <c r="AT599" s="17"/>
      <c r="AU599" s="30" t="s">
        <v>7483</v>
      </c>
      <c r="AV599" s="14">
        <v>11399</v>
      </c>
      <c r="AW599" s="74">
        <v>309891</v>
      </c>
      <c r="AX599" s="1"/>
      <c r="AY599" s="17" t="s">
        <v>101</v>
      </c>
    </row>
    <row r="600" spans="1:51" ht="15" customHeight="1" x14ac:dyDescent="0.25">
      <c r="A600" s="5">
        <v>581</v>
      </c>
      <c r="B600" s="9">
        <v>581</v>
      </c>
      <c r="C600" s="9" t="s">
        <v>7484</v>
      </c>
      <c r="D600" s="57" t="str">
        <f>HYPERLINK("http://prodenv.dep.state.fl.us/DepNexus/public/electronic-documents/OG_581/facility!search","OG_581_Docs")</f>
        <v>OG_581_Docs</v>
      </c>
      <c r="E600" s="57" t="str">
        <f>HYPERLINK("https://ca.dep.state.fl.us/mapdirect/?focus=oilandgas&amp;zoom=query&amp;querytype=oilandgas&amp;queryvalues=OG_581","OG_581_Map")</f>
        <v>OG_581_Map</v>
      </c>
      <c r="F600" s="1" t="s">
        <v>1797</v>
      </c>
      <c r="G600" s="1" t="s">
        <v>6648</v>
      </c>
      <c r="H600" s="1" t="s">
        <v>6668</v>
      </c>
      <c r="I600" s="1" t="s">
        <v>7485</v>
      </c>
      <c r="J600" s="17" t="s">
        <v>7486</v>
      </c>
      <c r="K600" s="17" t="s">
        <v>6671</v>
      </c>
      <c r="L600" s="17"/>
      <c r="M600" s="17"/>
      <c r="N600" s="52" t="s">
        <v>4735</v>
      </c>
      <c r="O600" s="17" t="s">
        <v>86</v>
      </c>
      <c r="P600" s="17" t="s">
        <v>86</v>
      </c>
      <c r="Q600" s="81" t="s">
        <v>7487</v>
      </c>
      <c r="R600" s="11">
        <v>30.867878000000001</v>
      </c>
      <c r="S600" s="11">
        <v>-87.103577999999999</v>
      </c>
      <c r="T600" s="11" t="s">
        <v>7488</v>
      </c>
      <c r="U600" s="11" t="s">
        <v>7489</v>
      </c>
      <c r="V600" s="17" t="s">
        <v>7490</v>
      </c>
      <c r="W600" s="17" t="s">
        <v>110</v>
      </c>
      <c r="X600" s="70">
        <v>206</v>
      </c>
      <c r="Y600" s="70">
        <v>180.2</v>
      </c>
      <c r="Z600" s="13">
        <v>26407</v>
      </c>
      <c r="AA600" s="13">
        <v>26421</v>
      </c>
      <c r="AB600" s="13">
        <v>26469</v>
      </c>
      <c r="AC600" s="13">
        <v>45527</v>
      </c>
      <c r="AD600" s="86">
        <v>16410</v>
      </c>
      <c r="AE600" s="86">
        <v>16410</v>
      </c>
      <c r="AF600" s="70" t="s">
        <v>5849</v>
      </c>
      <c r="AG600" s="17" t="s">
        <v>7491</v>
      </c>
      <c r="AH600" s="17" t="s">
        <v>94</v>
      </c>
      <c r="AI600" s="70" t="s">
        <v>7492</v>
      </c>
      <c r="AJ600" s="17">
        <v>15841</v>
      </c>
      <c r="AK600" s="17" t="s">
        <v>94</v>
      </c>
      <c r="AL600" s="17" t="s">
        <v>7493</v>
      </c>
      <c r="AM600" s="17" t="s">
        <v>95</v>
      </c>
      <c r="AN600" s="17" t="s">
        <v>94</v>
      </c>
      <c r="AO600" s="17" t="s">
        <v>94</v>
      </c>
      <c r="AP600" s="17" t="s">
        <v>94</v>
      </c>
      <c r="AQ600" s="17" t="s">
        <v>94</v>
      </c>
      <c r="AR600" s="17" t="s">
        <v>7494</v>
      </c>
      <c r="AS600" s="17" t="s">
        <v>7495</v>
      </c>
      <c r="AT600" s="17"/>
      <c r="AU600" s="30" t="s">
        <v>7496</v>
      </c>
      <c r="AV600" s="14">
        <v>11371</v>
      </c>
      <c r="AW600" s="74">
        <v>303045</v>
      </c>
      <c r="AX600" s="1" t="s">
        <v>7497</v>
      </c>
      <c r="AY600" s="17" t="s">
        <v>101</v>
      </c>
    </row>
    <row r="601" spans="1:51" ht="15" customHeight="1" x14ac:dyDescent="0.25">
      <c r="A601" s="5">
        <v>582</v>
      </c>
      <c r="B601" s="9">
        <v>582</v>
      </c>
      <c r="C601" s="9" t="s">
        <v>7498</v>
      </c>
      <c r="D601" s="57" t="str">
        <f>HYPERLINK("http://prodenv.dep.state.fl.us/DepNexus/public/electronic-documents/OG_582/facility!search","OG_582_Docs")</f>
        <v>OG_582_Docs</v>
      </c>
      <c r="E601" s="57" t="str">
        <f>HYPERLINK("https://ca.dep.state.fl.us/mapdirect/?focus=oilandgas&amp;zoom=query&amp;querytype=oilandgas&amp;queryvalues=OG_582","OG_582_Map")</f>
        <v>OG_582_Map</v>
      </c>
      <c r="F601" s="1" t="s">
        <v>1797</v>
      </c>
      <c r="G601" s="1" t="s">
        <v>5133</v>
      </c>
      <c r="H601" s="1" t="s">
        <v>3669</v>
      </c>
      <c r="I601" s="1" t="s">
        <v>7499</v>
      </c>
      <c r="J601" s="17" t="s">
        <v>268</v>
      </c>
      <c r="K601" s="17" t="s">
        <v>2105</v>
      </c>
      <c r="L601" s="17"/>
      <c r="M601" s="17"/>
      <c r="N601" s="52" t="s">
        <v>7500</v>
      </c>
      <c r="O601" s="17" t="s">
        <v>86</v>
      </c>
      <c r="P601" s="17" t="s">
        <v>86</v>
      </c>
      <c r="Q601" s="81" t="s">
        <v>7501</v>
      </c>
      <c r="R601" s="11">
        <v>30.952545000000001</v>
      </c>
      <c r="S601" s="11">
        <v>-87.191929000000002</v>
      </c>
      <c r="T601" s="11" t="s">
        <v>7502</v>
      </c>
      <c r="U601" s="11" t="s">
        <v>7503</v>
      </c>
      <c r="V601" s="17" t="s">
        <v>6474</v>
      </c>
      <c r="W601" s="17" t="s">
        <v>110</v>
      </c>
      <c r="X601" s="70">
        <v>190.99</v>
      </c>
      <c r="Y601" s="70">
        <v>172.21</v>
      </c>
      <c r="Z601" s="13">
        <v>26407</v>
      </c>
      <c r="AA601" s="13">
        <v>26451</v>
      </c>
      <c r="AB601" s="13">
        <v>26502</v>
      </c>
      <c r="AC601" s="13">
        <v>31695</v>
      </c>
      <c r="AD601" s="86">
        <v>16025</v>
      </c>
      <c r="AE601" s="86">
        <v>16025</v>
      </c>
      <c r="AF601" s="70" t="s">
        <v>5849</v>
      </c>
      <c r="AG601" s="17" t="s">
        <v>7504</v>
      </c>
      <c r="AH601" s="17" t="s">
        <v>94</v>
      </c>
      <c r="AI601" s="70" t="s">
        <v>7505</v>
      </c>
      <c r="AJ601" s="17" t="s">
        <v>6917</v>
      </c>
      <c r="AK601" s="17" t="s">
        <v>95</v>
      </c>
      <c r="AL601" s="17" t="s">
        <v>7506</v>
      </c>
      <c r="AM601" s="17" t="s">
        <v>94</v>
      </c>
      <c r="AN601" s="17" t="s">
        <v>94</v>
      </c>
      <c r="AO601" s="17" t="s">
        <v>7507</v>
      </c>
      <c r="AP601" s="17" t="s">
        <v>7508</v>
      </c>
      <c r="AQ601" s="17" t="s">
        <v>7169</v>
      </c>
      <c r="AR601" s="17" t="s">
        <v>7509</v>
      </c>
      <c r="AS601" s="17" t="s">
        <v>7510</v>
      </c>
      <c r="AT601" s="17"/>
      <c r="AU601" s="30" t="s">
        <v>7511</v>
      </c>
      <c r="AV601" s="14">
        <v>11423</v>
      </c>
      <c r="AW601" s="74"/>
      <c r="AX601" s="1"/>
      <c r="AY601" s="17" t="s">
        <v>101</v>
      </c>
    </row>
    <row r="602" spans="1:51" ht="15" customHeight="1" x14ac:dyDescent="0.25">
      <c r="A602" s="5">
        <v>583</v>
      </c>
      <c r="B602" s="9">
        <v>583</v>
      </c>
      <c r="C602" s="9" t="s">
        <v>7512</v>
      </c>
      <c r="D602" s="57" t="str">
        <f>HYPERLINK("http://prodenv.dep.state.fl.us/DepNexus/public/electronic-documents/OG_583/facility!search","OG_583_Docs")</f>
        <v>OG_583_Docs</v>
      </c>
      <c r="E602" s="57" t="str">
        <f>HYPERLINK("https://ca.dep.state.fl.us/mapdirect/?focus=oilandgas&amp;zoom=query&amp;querytype=oilandgas&amp;queryvalues=OG_583","OG_583_Map")</f>
        <v>OG_583_Map</v>
      </c>
      <c r="F602" s="1" t="s">
        <v>1797</v>
      </c>
      <c r="G602" s="1" t="s">
        <v>6648</v>
      </c>
      <c r="H602" s="1" t="s">
        <v>6668</v>
      </c>
      <c r="I602" s="1" t="s">
        <v>7513</v>
      </c>
      <c r="J602" s="17" t="s">
        <v>1476</v>
      </c>
      <c r="K602" s="17" t="s">
        <v>412</v>
      </c>
      <c r="L602" s="17"/>
      <c r="M602" s="17"/>
      <c r="N602" s="52" t="s">
        <v>7514</v>
      </c>
      <c r="O602" s="17" t="s">
        <v>86</v>
      </c>
      <c r="P602" s="17" t="s">
        <v>86</v>
      </c>
      <c r="Q602" s="81" t="s">
        <v>7515</v>
      </c>
      <c r="R602" s="11">
        <v>30.860828000000001</v>
      </c>
      <c r="S602" s="11">
        <v>-87.111384000000001</v>
      </c>
      <c r="T602" s="11" t="s">
        <v>7516</v>
      </c>
      <c r="U602" s="11" t="s">
        <v>7517</v>
      </c>
      <c r="V602" s="17" t="s">
        <v>7518</v>
      </c>
      <c r="W602" s="17" t="s">
        <v>110</v>
      </c>
      <c r="X602" s="70">
        <v>137</v>
      </c>
      <c r="Y602" s="70">
        <v>111.3</v>
      </c>
      <c r="Z602" s="13">
        <v>26407</v>
      </c>
      <c r="AA602" s="13">
        <v>26478</v>
      </c>
      <c r="AB602" s="13">
        <v>27254</v>
      </c>
      <c r="AC602" s="13">
        <v>45948</v>
      </c>
      <c r="AD602" s="86">
        <v>16204</v>
      </c>
      <c r="AE602" s="86">
        <v>16204</v>
      </c>
      <c r="AF602" s="70" t="s">
        <v>5849</v>
      </c>
      <c r="AG602" s="17" t="s">
        <v>7519</v>
      </c>
      <c r="AH602" s="17" t="s">
        <v>94</v>
      </c>
      <c r="AI602" s="70" t="s">
        <v>7520</v>
      </c>
      <c r="AJ602" s="17" t="s">
        <v>7521</v>
      </c>
      <c r="AK602" s="17" t="s">
        <v>95</v>
      </c>
      <c r="AL602" s="17" t="s">
        <v>7522</v>
      </c>
      <c r="AM602" s="17" t="s">
        <v>95</v>
      </c>
      <c r="AN602" s="17" t="s">
        <v>94</v>
      </c>
      <c r="AO602" s="17" t="s">
        <v>7523</v>
      </c>
      <c r="AP602" s="17" t="s">
        <v>7524</v>
      </c>
      <c r="AQ602" s="17" t="s">
        <v>5369</v>
      </c>
      <c r="AR602" s="17" t="s">
        <v>7525</v>
      </c>
      <c r="AS602" s="17" t="s">
        <v>7526</v>
      </c>
      <c r="AT602" s="17"/>
      <c r="AU602" s="30" t="s">
        <v>7527</v>
      </c>
      <c r="AV602" s="14">
        <v>11495</v>
      </c>
      <c r="AW602" s="74">
        <v>303044</v>
      </c>
      <c r="AX602" s="1"/>
      <c r="AY602" s="17" t="s">
        <v>101</v>
      </c>
    </row>
    <row r="603" spans="1:51" ht="15" customHeight="1" x14ac:dyDescent="0.25">
      <c r="A603" s="5">
        <v>584</v>
      </c>
      <c r="B603" s="9">
        <v>584</v>
      </c>
      <c r="C603" s="9" t="s">
        <v>7528</v>
      </c>
      <c r="D603" s="57" t="str">
        <f>HYPERLINK("http://prodenv.dep.state.fl.us/DepNexus/public/electronic-documents/OG_584/facility!search","OG_584_Docs")</f>
        <v>OG_584_Docs</v>
      </c>
      <c r="E603" s="57" t="str">
        <f>HYPERLINK("https://ca.dep.state.fl.us/mapdirect/?focus=oilandgas&amp;zoom=query&amp;querytype=oilandgas&amp;queryvalues=OG_584","OG_584_Map")</f>
        <v>OG_584_Map</v>
      </c>
      <c r="F603" s="1" t="s">
        <v>1797</v>
      </c>
      <c r="G603" s="1" t="s">
        <v>6648</v>
      </c>
      <c r="H603" s="1" t="s">
        <v>176</v>
      </c>
      <c r="I603" s="1" t="s">
        <v>7529</v>
      </c>
      <c r="J603" s="17" t="s">
        <v>207</v>
      </c>
      <c r="K603" s="17" t="s">
        <v>208</v>
      </c>
      <c r="L603" s="17"/>
      <c r="M603" s="17" t="s">
        <v>207</v>
      </c>
      <c r="N603" s="52" t="s">
        <v>86</v>
      </c>
      <c r="O603" s="17" t="s">
        <v>86</v>
      </c>
      <c r="P603" s="17" t="s">
        <v>86</v>
      </c>
      <c r="Q603" s="81" t="s">
        <v>7530</v>
      </c>
      <c r="R603" s="11">
        <v>30.854230999999999</v>
      </c>
      <c r="S603" s="11">
        <v>-87.120180000000005</v>
      </c>
      <c r="T603" s="11" t="s">
        <v>7531</v>
      </c>
      <c r="U603" s="11" t="s">
        <v>7532</v>
      </c>
      <c r="V603" s="17" t="s">
        <v>7533</v>
      </c>
      <c r="W603" s="17" t="s">
        <v>110</v>
      </c>
      <c r="X603" s="70"/>
      <c r="Y603" s="70"/>
      <c r="Z603" s="13">
        <v>26407</v>
      </c>
      <c r="AA603" s="13"/>
      <c r="AB603" s="13"/>
      <c r="AC603" s="13"/>
      <c r="AD603" s="86"/>
      <c r="AE603" s="70"/>
      <c r="AF603" s="70" t="s">
        <v>207</v>
      </c>
      <c r="AG603" s="14" t="s">
        <v>207</v>
      </c>
      <c r="AH603" s="14" t="s">
        <v>207</v>
      </c>
      <c r="AI603" s="70" t="s">
        <v>207</v>
      </c>
      <c r="AJ603" s="14" t="s">
        <v>207</v>
      </c>
      <c r="AK603" s="14" t="s">
        <v>207</v>
      </c>
      <c r="AL603" s="14" t="s">
        <v>207</v>
      </c>
      <c r="AM603" s="14" t="s">
        <v>207</v>
      </c>
      <c r="AN603" s="14" t="s">
        <v>207</v>
      </c>
      <c r="AO603" s="14" t="s">
        <v>207</v>
      </c>
      <c r="AP603" s="14" t="s">
        <v>207</v>
      </c>
      <c r="AQ603" s="14" t="s">
        <v>207</v>
      </c>
      <c r="AR603" s="14" t="s">
        <v>207</v>
      </c>
      <c r="AS603" s="14" t="s">
        <v>207</v>
      </c>
      <c r="AT603" s="14" t="s">
        <v>207</v>
      </c>
      <c r="AU603" s="30" t="s">
        <v>7534</v>
      </c>
      <c r="AV603" s="14" t="s">
        <v>207</v>
      </c>
      <c r="AW603" s="74"/>
      <c r="AX603" s="1"/>
      <c r="AY603" s="17" t="s">
        <v>101</v>
      </c>
    </row>
    <row r="604" spans="1:51" ht="12.75" customHeight="1" x14ac:dyDescent="0.25">
      <c r="A604" s="5">
        <v>585</v>
      </c>
      <c r="B604" s="9">
        <v>585</v>
      </c>
      <c r="C604" s="9" t="s">
        <v>7535</v>
      </c>
      <c r="D604" s="57" t="str">
        <f>HYPERLINK("http://prodenv.dep.state.fl.us/DepNexus/public/electronic-documents/OG_585/facility!search","OG_585_Docs")</f>
        <v>OG_585_Docs</v>
      </c>
      <c r="E604" s="57" t="str">
        <f>HYPERLINK("https://ca.dep.state.fl.us/mapdirect/?focus=oilandgas&amp;zoom=query&amp;querytype=oilandgas&amp;queryvalues=OG_585","OG_585_Map")</f>
        <v>OG_585_Map</v>
      </c>
      <c r="F604" s="1" t="s">
        <v>1797</v>
      </c>
      <c r="G604" s="1" t="s">
        <v>6648</v>
      </c>
      <c r="H604" s="1" t="s">
        <v>176</v>
      </c>
      <c r="I604" s="1" t="s">
        <v>7536</v>
      </c>
      <c r="J604" s="17" t="s">
        <v>207</v>
      </c>
      <c r="K604" s="17" t="s">
        <v>208</v>
      </c>
      <c r="L604" s="17"/>
      <c r="M604" s="17" t="s">
        <v>207</v>
      </c>
      <c r="N604" s="52" t="s">
        <v>86</v>
      </c>
      <c r="O604" s="17" t="s">
        <v>86</v>
      </c>
      <c r="P604" s="17" t="s">
        <v>86</v>
      </c>
      <c r="Q604" s="81" t="s">
        <v>7537</v>
      </c>
      <c r="R604" s="11">
        <v>30.846664000000001</v>
      </c>
      <c r="S604" s="11">
        <v>-87.104440999999994</v>
      </c>
      <c r="T604" s="11" t="s">
        <v>7538</v>
      </c>
      <c r="U604" s="11" t="s">
        <v>7539</v>
      </c>
      <c r="V604" s="17" t="s">
        <v>7540</v>
      </c>
      <c r="W604" s="17" t="s">
        <v>110</v>
      </c>
      <c r="X604" s="70"/>
      <c r="Y604" s="70"/>
      <c r="Z604" s="13">
        <v>26407</v>
      </c>
      <c r="AA604" s="13"/>
      <c r="AB604" s="13"/>
      <c r="AC604" s="13"/>
      <c r="AD604" s="86"/>
      <c r="AE604" s="70"/>
      <c r="AF604" s="70" t="s">
        <v>207</v>
      </c>
      <c r="AG604" s="14" t="s">
        <v>207</v>
      </c>
      <c r="AH604" s="14" t="s">
        <v>207</v>
      </c>
      <c r="AI604" s="70" t="s">
        <v>207</v>
      </c>
      <c r="AJ604" s="14" t="s">
        <v>207</v>
      </c>
      <c r="AK604" s="14" t="s">
        <v>207</v>
      </c>
      <c r="AL604" s="14" t="s">
        <v>207</v>
      </c>
      <c r="AM604" s="14" t="s">
        <v>207</v>
      </c>
      <c r="AN604" s="14" t="s">
        <v>207</v>
      </c>
      <c r="AO604" s="14" t="s">
        <v>207</v>
      </c>
      <c r="AP604" s="14" t="s">
        <v>207</v>
      </c>
      <c r="AQ604" s="14" t="s">
        <v>207</v>
      </c>
      <c r="AR604" s="14" t="s">
        <v>207</v>
      </c>
      <c r="AS604" s="14" t="s">
        <v>207</v>
      </c>
      <c r="AT604" s="14" t="s">
        <v>207</v>
      </c>
      <c r="AU604" s="30" t="s">
        <v>7541</v>
      </c>
      <c r="AV604" s="14" t="s">
        <v>207</v>
      </c>
      <c r="AW604" s="74"/>
      <c r="AX604" s="1"/>
      <c r="AY604" s="17" t="s">
        <v>101</v>
      </c>
    </row>
    <row r="605" spans="1:51" ht="12.75" customHeight="1" x14ac:dyDescent="0.25">
      <c r="A605" s="5">
        <v>586</v>
      </c>
      <c r="B605" s="9">
        <v>586</v>
      </c>
      <c r="C605" s="9" t="s">
        <v>7542</v>
      </c>
      <c r="D605" s="57" t="str">
        <f>HYPERLINK("http://prodenv.dep.state.fl.us/DepNexus/public/electronic-documents/OG_586/facility!search","OG_586_Docs")</f>
        <v>OG_586_Docs</v>
      </c>
      <c r="E605" s="57" t="str">
        <f>HYPERLINK("https://ca.dep.state.fl.us/mapdirect/?focus=oilandgas&amp;zoom=query&amp;querytype=oilandgas&amp;queryvalues=OG_586","OG_586_Map")</f>
        <v>OG_586_Map</v>
      </c>
      <c r="F605" s="1" t="s">
        <v>1797</v>
      </c>
      <c r="G605" s="1" t="s">
        <v>5133</v>
      </c>
      <c r="H605" s="1" t="s">
        <v>1363</v>
      </c>
      <c r="I605" s="1" t="s">
        <v>7543</v>
      </c>
      <c r="J605" s="17" t="s">
        <v>3646</v>
      </c>
      <c r="K605" s="17" t="s">
        <v>412</v>
      </c>
      <c r="L605" s="17"/>
      <c r="M605" s="17"/>
      <c r="N605" s="52" t="s">
        <v>6046</v>
      </c>
      <c r="O605" s="17" t="s">
        <v>86</v>
      </c>
      <c r="P605" s="17" t="s">
        <v>86</v>
      </c>
      <c r="Q605" s="81" t="s">
        <v>7544</v>
      </c>
      <c r="R605" s="11">
        <v>30.929860000000001</v>
      </c>
      <c r="S605" s="11">
        <v>-87.153929000000005</v>
      </c>
      <c r="T605" s="11" t="s">
        <v>7545</v>
      </c>
      <c r="U605" s="11" t="s">
        <v>7546</v>
      </c>
      <c r="V605" s="17" t="s">
        <v>7547</v>
      </c>
      <c r="W605" s="17" t="s">
        <v>110</v>
      </c>
      <c r="X605" s="70">
        <v>266.56</v>
      </c>
      <c r="Y605" s="70">
        <v>249.06</v>
      </c>
      <c r="Z605" s="13">
        <v>26407</v>
      </c>
      <c r="AA605" s="13">
        <v>26485</v>
      </c>
      <c r="AB605" s="13">
        <v>26562</v>
      </c>
      <c r="AC605" s="13"/>
      <c r="AD605" s="86">
        <v>15964</v>
      </c>
      <c r="AE605" s="86">
        <v>15964</v>
      </c>
      <c r="AF605" s="70" t="s">
        <v>7330</v>
      </c>
      <c r="AG605" s="17" t="s">
        <v>7548</v>
      </c>
      <c r="AH605" s="17" t="s">
        <v>94</v>
      </c>
      <c r="AI605" s="70" t="s">
        <v>7549</v>
      </c>
      <c r="AJ605" s="17" t="s">
        <v>7550</v>
      </c>
      <c r="AK605" s="17" t="s">
        <v>94</v>
      </c>
      <c r="AL605" s="17" t="s">
        <v>7551</v>
      </c>
      <c r="AM605" s="17" t="s">
        <v>94</v>
      </c>
      <c r="AN605" s="17" t="s">
        <v>94</v>
      </c>
      <c r="AO605" s="17" t="s">
        <v>7552</v>
      </c>
      <c r="AP605" s="17" t="s">
        <v>7553</v>
      </c>
      <c r="AQ605" s="17" t="s">
        <v>5243</v>
      </c>
      <c r="AR605" s="17" t="s">
        <v>7554</v>
      </c>
      <c r="AS605" s="17"/>
      <c r="AT605" s="17"/>
      <c r="AU605" s="30" t="s">
        <v>7555</v>
      </c>
      <c r="AV605" s="14">
        <v>11549</v>
      </c>
      <c r="AW605" s="74">
        <v>309893</v>
      </c>
      <c r="AX605" s="1"/>
      <c r="AY605" s="17" t="s">
        <v>101</v>
      </c>
    </row>
    <row r="606" spans="1:51" ht="15" customHeight="1" x14ac:dyDescent="0.25">
      <c r="A606" s="5">
        <v>587</v>
      </c>
      <c r="B606" s="9">
        <v>587</v>
      </c>
      <c r="C606" s="9" t="s">
        <v>7556</v>
      </c>
      <c r="D606" s="57" t="str">
        <f>HYPERLINK("http://prodenv.dep.state.fl.us/DepNexus/public/electronic-documents/OG_587/facility!search","OG_587_Docs")</f>
        <v>OG_587_Docs</v>
      </c>
      <c r="E606" s="57" t="str">
        <f>HYPERLINK("https://ca.dep.state.fl.us/mapdirect/?focus=oilandgas&amp;zoom=query&amp;querytype=oilandgas&amp;queryvalues=OG_587","OG_587_Map")</f>
        <v>OG_587_Map</v>
      </c>
      <c r="F606" s="1" t="s">
        <v>314</v>
      </c>
      <c r="G606" s="1" t="s">
        <v>79</v>
      </c>
      <c r="H606" s="1" t="s">
        <v>7338</v>
      </c>
      <c r="I606" s="1" t="s">
        <v>7557</v>
      </c>
      <c r="J606" s="17" t="s">
        <v>82</v>
      </c>
      <c r="K606" s="17" t="s">
        <v>83</v>
      </c>
      <c r="L606" s="17"/>
      <c r="M606" s="17" t="s">
        <v>101</v>
      </c>
      <c r="N606" s="52" t="s">
        <v>4735</v>
      </c>
      <c r="O606" s="17" t="s">
        <v>86</v>
      </c>
      <c r="P606" s="17" t="s">
        <v>86</v>
      </c>
      <c r="Q606" s="81" t="s">
        <v>7558</v>
      </c>
      <c r="R606" s="11">
        <v>30.958618000000001</v>
      </c>
      <c r="S606" s="11">
        <v>-86.259990000000002</v>
      </c>
      <c r="T606" s="11" t="s">
        <v>7559</v>
      </c>
      <c r="U606" s="11" t="s">
        <v>7560</v>
      </c>
      <c r="V606" s="17" t="s">
        <v>7561</v>
      </c>
      <c r="W606" s="17" t="s">
        <v>110</v>
      </c>
      <c r="X606" s="70">
        <v>294</v>
      </c>
      <c r="Y606" s="70">
        <v>272</v>
      </c>
      <c r="Z606" s="13">
        <v>26414</v>
      </c>
      <c r="AA606" s="13">
        <v>26442</v>
      </c>
      <c r="AB606" s="13"/>
      <c r="AC606" s="13">
        <v>26466</v>
      </c>
      <c r="AD606" s="86">
        <v>12028</v>
      </c>
      <c r="AE606" s="86">
        <v>12028</v>
      </c>
      <c r="AF606" s="70" t="s">
        <v>1456</v>
      </c>
      <c r="AG606" s="17" t="s">
        <v>7562</v>
      </c>
      <c r="AH606" s="17" t="s">
        <v>94</v>
      </c>
      <c r="AI606" s="70" t="s">
        <v>94</v>
      </c>
      <c r="AJ606" s="17" t="s">
        <v>94</v>
      </c>
      <c r="AK606" s="17" t="s">
        <v>95</v>
      </c>
      <c r="AL606" s="17" t="s">
        <v>94</v>
      </c>
      <c r="AM606" s="17" t="s">
        <v>94</v>
      </c>
      <c r="AN606" s="17" t="s">
        <v>94</v>
      </c>
      <c r="AO606" s="17" t="s">
        <v>98</v>
      </c>
      <c r="AP606" s="17" t="s">
        <v>98</v>
      </c>
      <c r="AQ606" s="17" t="s">
        <v>98</v>
      </c>
      <c r="AR606" s="17" t="s">
        <v>94</v>
      </c>
      <c r="AS606" s="17" t="s">
        <v>7563</v>
      </c>
      <c r="AT606" s="17">
        <v>190</v>
      </c>
      <c r="AU606" s="30" t="s">
        <v>7564</v>
      </c>
      <c r="AV606" s="14">
        <v>11374</v>
      </c>
      <c r="AW606" s="74"/>
      <c r="AX606" s="1"/>
      <c r="AY606" s="17" t="s">
        <v>101</v>
      </c>
    </row>
    <row r="607" spans="1:51" ht="12.75" customHeight="1" x14ac:dyDescent="0.25">
      <c r="A607" s="5">
        <v>588</v>
      </c>
      <c r="B607" s="9">
        <v>588</v>
      </c>
      <c r="C607" s="9" t="s">
        <v>7565</v>
      </c>
      <c r="D607" s="57" t="str">
        <f>HYPERLINK("http://prodenv.dep.state.fl.us/DepNexus/public/electronic-documents/OG_588/facility!search","OG_588_Docs")</f>
        <v>OG_588_Docs</v>
      </c>
      <c r="E607" s="57" t="str">
        <f>HYPERLINK("https://ca.dep.state.fl.us/mapdirect/?focus=oilandgas&amp;zoom=query&amp;querytype=oilandgas&amp;queryvalues=OG_588","OG_588_Map")</f>
        <v>OG_588_Map</v>
      </c>
      <c r="F607" s="1" t="s">
        <v>1797</v>
      </c>
      <c r="G607" s="1" t="s">
        <v>79</v>
      </c>
      <c r="H607" s="1" t="s">
        <v>7566</v>
      </c>
      <c r="I607" s="1" t="s">
        <v>7567</v>
      </c>
      <c r="J607" s="17" t="s">
        <v>82</v>
      </c>
      <c r="K607" s="17" t="s">
        <v>83</v>
      </c>
      <c r="L607" s="17"/>
      <c r="M607" s="17" t="s">
        <v>101</v>
      </c>
      <c r="N607" s="52" t="s">
        <v>7568</v>
      </c>
      <c r="O607" s="17" t="s">
        <v>86</v>
      </c>
      <c r="P607" s="17" t="s">
        <v>86</v>
      </c>
      <c r="Q607" s="81" t="s">
        <v>7569</v>
      </c>
      <c r="R607" s="11">
        <v>30.692696999999999</v>
      </c>
      <c r="S607" s="11">
        <v>-86.973427000000001</v>
      </c>
      <c r="T607" s="11" t="s">
        <v>7570</v>
      </c>
      <c r="U607" s="11" t="s">
        <v>7571</v>
      </c>
      <c r="V607" s="17" t="s">
        <v>7572</v>
      </c>
      <c r="W607" s="17" t="s">
        <v>110</v>
      </c>
      <c r="X607" s="70">
        <v>56.27</v>
      </c>
      <c r="Y607" s="70">
        <v>31.44</v>
      </c>
      <c r="Z607" s="13">
        <v>26414</v>
      </c>
      <c r="AA607" s="13">
        <v>26471</v>
      </c>
      <c r="AB607" s="13"/>
      <c r="AC607" s="13">
        <v>26529</v>
      </c>
      <c r="AD607" s="86">
        <v>16572</v>
      </c>
      <c r="AE607" s="86">
        <v>16572</v>
      </c>
      <c r="AF607" s="70" t="s">
        <v>6768</v>
      </c>
      <c r="AG607" s="17" t="s">
        <v>6548</v>
      </c>
      <c r="AH607" s="17" t="s">
        <v>94</v>
      </c>
      <c r="AI607" s="70" t="s">
        <v>94</v>
      </c>
      <c r="AJ607" s="17" t="s">
        <v>94</v>
      </c>
      <c r="AK607" s="17" t="s">
        <v>95</v>
      </c>
      <c r="AL607" s="17" t="s">
        <v>7573</v>
      </c>
      <c r="AM607" s="17" t="s">
        <v>94</v>
      </c>
      <c r="AN607" s="17" t="s">
        <v>94</v>
      </c>
      <c r="AO607" s="17" t="s">
        <v>98</v>
      </c>
      <c r="AP607" s="17" t="s">
        <v>98</v>
      </c>
      <c r="AQ607" s="17" t="s">
        <v>98</v>
      </c>
      <c r="AR607" s="17" t="s">
        <v>94</v>
      </c>
      <c r="AS607" s="17" t="s">
        <v>7574</v>
      </c>
      <c r="AT607" s="17">
        <v>266</v>
      </c>
      <c r="AU607" s="30" t="s">
        <v>7575</v>
      </c>
      <c r="AV607" s="14">
        <v>11496</v>
      </c>
      <c r="AW607" s="74"/>
      <c r="AX607" s="1"/>
      <c r="AY607" s="17" t="s">
        <v>101</v>
      </c>
    </row>
    <row r="608" spans="1:51" ht="12.75" customHeight="1" x14ac:dyDescent="0.25">
      <c r="A608" s="5">
        <v>589</v>
      </c>
      <c r="B608" s="9">
        <v>589</v>
      </c>
      <c r="C608" s="9" t="s">
        <v>7576</v>
      </c>
      <c r="D608" s="57" t="str">
        <f>HYPERLINK("http://prodenv.dep.state.fl.us/DepNexus/public/electronic-documents/OG_589/facility!search","OG_589_Docs")</f>
        <v>OG_589_Docs</v>
      </c>
      <c r="E608" s="57" t="str">
        <f>HYPERLINK("https://ca.dep.state.fl.us/mapdirect/?focus=oilandgas&amp;zoom=query&amp;querytype=oilandgas&amp;queryvalues=OG_589","OG_589_Map")</f>
        <v>OG_589_Map</v>
      </c>
      <c r="F608" s="1" t="s">
        <v>1797</v>
      </c>
      <c r="G608" s="1" t="s">
        <v>5133</v>
      </c>
      <c r="H608" s="1" t="s">
        <v>7577</v>
      </c>
      <c r="I608" s="1" t="s">
        <v>7578</v>
      </c>
      <c r="J608" s="17" t="s">
        <v>268</v>
      </c>
      <c r="K608" s="17" t="s">
        <v>4266</v>
      </c>
      <c r="L608" s="17"/>
      <c r="M608" s="17"/>
      <c r="N608" s="52" t="s">
        <v>6155</v>
      </c>
      <c r="O608" s="17" t="s">
        <v>86</v>
      </c>
      <c r="P608" s="17" t="s">
        <v>86</v>
      </c>
      <c r="Q608" s="81" t="s">
        <v>3740</v>
      </c>
      <c r="R608" s="11">
        <v>30.937445</v>
      </c>
      <c r="S608" s="11">
        <v>-87.166477</v>
      </c>
      <c r="T608" s="11" t="s">
        <v>7579</v>
      </c>
      <c r="U608" s="11" t="s">
        <v>7580</v>
      </c>
      <c r="V608" s="17" t="s">
        <v>998</v>
      </c>
      <c r="W608" s="17" t="s">
        <v>110</v>
      </c>
      <c r="X608" s="70">
        <v>276.44</v>
      </c>
      <c r="Y608" s="70">
        <v>260.25</v>
      </c>
      <c r="Z608" s="13">
        <v>26414</v>
      </c>
      <c r="AA608" s="13">
        <v>26445</v>
      </c>
      <c r="AB608" s="13">
        <v>26595</v>
      </c>
      <c r="AC608" s="13">
        <v>39770</v>
      </c>
      <c r="AD608" s="86">
        <v>16040</v>
      </c>
      <c r="AE608" s="86">
        <v>16040</v>
      </c>
      <c r="AF608" s="70" t="s">
        <v>7581</v>
      </c>
      <c r="AG608" s="17" t="s">
        <v>7582</v>
      </c>
      <c r="AH608" s="17" t="s">
        <v>94</v>
      </c>
      <c r="AI608" s="70" t="s">
        <v>7583</v>
      </c>
      <c r="AJ608" s="17" t="s">
        <v>7584</v>
      </c>
      <c r="AK608" s="17" t="s">
        <v>94</v>
      </c>
      <c r="AL608" s="17" t="s">
        <v>7585</v>
      </c>
      <c r="AM608" s="17" t="s">
        <v>95</v>
      </c>
      <c r="AN608" s="17" t="s">
        <v>94</v>
      </c>
      <c r="AO608" s="17" t="s">
        <v>7586</v>
      </c>
      <c r="AP608" s="17" t="s">
        <v>7587</v>
      </c>
      <c r="AQ608" s="17" t="s">
        <v>5738</v>
      </c>
      <c r="AR608" s="17" t="s">
        <v>7588</v>
      </c>
      <c r="AS608" s="17" t="s">
        <v>7589</v>
      </c>
      <c r="AT608" s="17"/>
      <c r="AU608" s="30" t="s">
        <v>7590</v>
      </c>
      <c r="AV608" s="14">
        <v>11413</v>
      </c>
      <c r="AW608" s="74"/>
      <c r="AX608" s="1" t="s">
        <v>7591</v>
      </c>
      <c r="AY608" s="17" t="s">
        <v>101</v>
      </c>
    </row>
    <row r="609" spans="1:51" ht="15" customHeight="1" x14ac:dyDescent="0.25">
      <c r="A609" s="5">
        <v>590</v>
      </c>
      <c r="B609" s="9">
        <v>590</v>
      </c>
      <c r="C609" s="9" t="s">
        <v>7592</v>
      </c>
      <c r="D609" s="57" t="str">
        <f>HYPERLINK("http://prodenv.dep.state.fl.us/DepNexus/public/electronic-documents/OG_590/facility!search","OG_590_Docs")</f>
        <v>OG_590_Docs</v>
      </c>
      <c r="E609" s="57" t="str">
        <f>HYPERLINK("https://ca.dep.state.fl.us/mapdirect/?focus=oilandgas&amp;zoom=query&amp;querytype=oilandgas&amp;queryvalues=OG_590","OG_590_Map")</f>
        <v>OG_590_Map</v>
      </c>
      <c r="F609" s="1" t="s">
        <v>829</v>
      </c>
      <c r="G609" s="1" t="s">
        <v>79</v>
      </c>
      <c r="H609" s="1" t="s">
        <v>7593</v>
      </c>
      <c r="I609" s="1" t="s">
        <v>7594</v>
      </c>
      <c r="J609" s="17" t="s">
        <v>82</v>
      </c>
      <c r="K609" s="17" t="s">
        <v>83</v>
      </c>
      <c r="L609" s="17"/>
      <c r="M609" s="17" t="s">
        <v>101</v>
      </c>
      <c r="N609" s="52" t="s">
        <v>7568</v>
      </c>
      <c r="O609" s="17" t="s">
        <v>86</v>
      </c>
      <c r="P609" s="17" t="s">
        <v>86</v>
      </c>
      <c r="Q609" s="81" t="s">
        <v>7595</v>
      </c>
      <c r="R609" s="11">
        <v>30.785634999999999</v>
      </c>
      <c r="S609" s="11">
        <v>-86.637422000000001</v>
      </c>
      <c r="T609" s="11" t="s">
        <v>7596</v>
      </c>
      <c r="U609" s="11" t="s">
        <v>7597</v>
      </c>
      <c r="V609" s="17" t="s">
        <v>7598</v>
      </c>
      <c r="W609" s="17" t="s">
        <v>110</v>
      </c>
      <c r="X609" s="70">
        <v>170</v>
      </c>
      <c r="Y609" s="70">
        <v>147</v>
      </c>
      <c r="Z609" s="13">
        <v>26414</v>
      </c>
      <c r="AA609" s="13">
        <v>26464</v>
      </c>
      <c r="AB609" s="13"/>
      <c r="AC609" s="13">
        <v>26519</v>
      </c>
      <c r="AD609" s="86">
        <v>14514</v>
      </c>
      <c r="AE609" s="86">
        <v>14514</v>
      </c>
      <c r="AF609" s="70" t="s">
        <v>7599</v>
      </c>
      <c r="AG609" s="17" t="s">
        <v>7600</v>
      </c>
      <c r="AH609" s="17" t="s">
        <v>94</v>
      </c>
      <c r="AI609" s="70" t="s">
        <v>94</v>
      </c>
      <c r="AJ609" s="17" t="s">
        <v>94</v>
      </c>
      <c r="AK609" s="17" t="s">
        <v>95</v>
      </c>
      <c r="AL609" s="17" t="s">
        <v>94</v>
      </c>
      <c r="AM609" s="17" t="s">
        <v>94</v>
      </c>
      <c r="AN609" s="17" t="s">
        <v>94</v>
      </c>
      <c r="AO609" s="17" t="s">
        <v>98</v>
      </c>
      <c r="AP609" s="17" t="s">
        <v>98</v>
      </c>
      <c r="AQ609" s="17" t="s">
        <v>98</v>
      </c>
      <c r="AR609" s="17" t="s">
        <v>94</v>
      </c>
      <c r="AS609" s="17" t="s">
        <v>7601</v>
      </c>
      <c r="AT609" s="17">
        <v>230</v>
      </c>
      <c r="AU609" s="30" t="s">
        <v>7602</v>
      </c>
      <c r="AV609" s="14">
        <v>11467</v>
      </c>
      <c r="AW609" s="74"/>
      <c r="AX609" s="1"/>
      <c r="AY609" s="17" t="s">
        <v>101</v>
      </c>
    </row>
    <row r="610" spans="1:51" ht="12.75" customHeight="1" x14ac:dyDescent="0.25">
      <c r="A610" s="5">
        <v>591</v>
      </c>
      <c r="B610" s="9">
        <v>591</v>
      </c>
      <c r="C610" s="9" t="s">
        <v>7603</v>
      </c>
      <c r="D610" s="57" t="str">
        <f>HYPERLINK("http://prodenv.dep.state.fl.us/DepNexus/public/electronic-documents/OG_591/facility!search","OG_591_Docs")</f>
        <v>OG_591_Docs</v>
      </c>
      <c r="E610" s="57" t="str">
        <f>HYPERLINK("https://ca.dep.state.fl.us/mapdirect/?focus=oilandgas&amp;zoom=query&amp;querytype=oilandgas&amp;queryvalues=OG_591","OG_591_Map")</f>
        <v>OG_591_Map</v>
      </c>
      <c r="F610" s="1" t="s">
        <v>1797</v>
      </c>
      <c r="G610" s="1" t="s">
        <v>5133</v>
      </c>
      <c r="H610" s="1" t="s">
        <v>1363</v>
      </c>
      <c r="I610" s="1" t="s">
        <v>7604</v>
      </c>
      <c r="J610" s="17" t="s">
        <v>5135</v>
      </c>
      <c r="K610" s="17" t="s">
        <v>4266</v>
      </c>
      <c r="L610" s="17"/>
      <c r="M610" s="17"/>
      <c r="N610" s="52" t="s">
        <v>7605</v>
      </c>
      <c r="O610" s="17" t="s">
        <v>86</v>
      </c>
      <c r="P610" s="17" t="s">
        <v>86</v>
      </c>
      <c r="Q610" s="81" t="s">
        <v>7606</v>
      </c>
      <c r="R610" s="11">
        <v>30.943957000000001</v>
      </c>
      <c r="S610" s="11">
        <v>-87.18347</v>
      </c>
      <c r="T610" s="11" t="s">
        <v>7607</v>
      </c>
      <c r="U610" s="11" t="s">
        <v>7608</v>
      </c>
      <c r="V610" s="17" t="s">
        <v>7609</v>
      </c>
      <c r="W610" s="17" t="s">
        <v>110</v>
      </c>
      <c r="X610" s="70">
        <v>285.89999999999998</v>
      </c>
      <c r="Y610" s="70">
        <v>266.2</v>
      </c>
      <c r="Z610" s="13">
        <v>26428</v>
      </c>
      <c r="AA610" s="13">
        <v>26432</v>
      </c>
      <c r="AB610" s="13">
        <v>26572</v>
      </c>
      <c r="AC610" s="13"/>
      <c r="AD610" s="86">
        <v>16036</v>
      </c>
      <c r="AE610" s="86">
        <v>16036</v>
      </c>
      <c r="AF610" s="70" t="s">
        <v>3172</v>
      </c>
      <c r="AG610" s="17" t="s">
        <v>7610</v>
      </c>
      <c r="AH610" s="17" t="s">
        <v>94</v>
      </c>
      <c r="AI610" s="70" t="s">
        <v>7611</v>
      </c>
      <c r="AJ610" s="17" t="s">
        <v>7612</v>
      </c>
      <c r="AK610" s="17" t="s">
        <v>94</v>
      </c>
      <c r="AL610" s="17" t="s">
        <v>7613</v>
      </c>
      <c r="AM610" s="17" t="s">
        <v>94</v>
      </c>
      <c r="AN610" s="17" t="s">
        <v>94</v>
      </c>
      <c r="AO610" s="17" t="s">
        <v>7614</v>
      </c>
      <c r="AP610" s="17" t="s">
        <v>7615</v>
      </c>
      <c r="AQ610" s="17" t="s">
        <v>5243</v>
      </c>
      <c r="AR610" s="17" t="s">
        <v>7616</v>
      </c>
      <c r="AS610" s="17"/>
      <c r="AT610" s="17"/>
      <c r="AU610" s="30" t="s">
        <v>7617</v>
      </c>
      <c r="AV610" s="14">
        <v>11387</v>
      </c>
      <c r="AW610" s="74">
        <v>311594</v>
      </c>
      <c r="AX610" s="1" t="s">
        <v>7618</v>
      </c>
      <c r="AY610" s="17" t="s">
        <v>101</v>
      </c>
    </row>
    <row r="611" spans="1:51" ht="15" customHeight="1" x14ac:dyDescent="0.25">
      <c r="A611" s="5">
        <v>592</v>
      </c>
      <c r="B611" s="9">
        <v>592</v>
      </c>
      <c r="C611" s="9" t="s">
        <v>7619</v>
      </c>
      <c r="D611" s="57" t="str">
        <f>HYPERLINK("http://prodenv.dep.state.fl.us/DepNexus/public/electronic-documents/OG_592/facility!search","OG_592_Docs")</f>
        <v>OG_592_Docs</v>
      </c>
      <c r="E611" s="57" t="str">
        <f>HYPERLINK("https://ca.dep.state.fl.us/mapdirect/?focus=oilandgas&amp;zoom=query&amp;querytype=oilandgas&amp;queryvalues=OG_592","OG_592_Map")</f>
        <v>OG_592_Map</v>
      </c>
      <c r="F611" s="1" t="s">
        <v>1797</v>
      </c>
      <c r="G611" s="1" t="s">
        <v>5133</v>
      </c>
      <c r="H611" s="1" t="s">
        <v>176</v>
      </c>
      <c r="I611" s="1" t="s">
        <v>7620</v>
      </c>
      <c r="J611" s="17" t="s">
        <v>268</v>
      </c>
      <c r="K611" s="17" t="s">
        <v>412</v>
      </c>
      <c r="L611" s="17"/>
      <c r="M611" s="17"/>
      <c r="N611" s="52" t="s">
        <v>6046</v>
      </c>
      <c r="O611" s="17" t="s">
        <v>86</v>
      </c>
      <c r="P611" s="17" t="s">
        <v>86</v>
      </c>
      <c r="Q611" s="81" t="s">
        <v>7621</v>
      </c>
      <c r="R611" s="11">
        <v>30.958991000000001</v>
      </c>
      <c r="S611" s="11">
        <v>-87.191922000000005</v>
      </c>
      <c r="T611" s="11" t="s">
        <v>7622</v>
      </c>
      <c r="U611" s="11" t="s">
        <v>7623</v>
      </c>
      <c r="V611" s="17" t="s">
        <v>7624</v>
      </c>
      <c r="W611" s="17" t="s">
        <v>110</v>
      </c>
      <c r="X611" s="70">
        <v>221.9</v>
      </c>
      <c r="Y611" s="70">
        <v>196.4</v>
      </c>
      <c r="Z611" s="13">
        <v>26428</v>
      </c>
      <c r="AA611" s="13">
        <v>26521</v>
      </c>
      <c r="AB611" s="13">
        <v>26583</v>
      </c>
      <c r="AC611" s="13">
        <v>26651</v>
      </c>
      <c r="AD611" s="86">
        <v>16100</v>
      </c>
      <c r="AE611" s="86">
        <v>16100</v>
      </c>
      <c r="AF611" s="70" t="s">
        <v>3172</v>
      </c>
      <c r="AG611" s="17" t="s">
        <v>7625</v>
      </c>
      <c r="AH611" s="17" t="s">
        <v>94</v>
      </c>
      <c r="AI611" s="70" t="s">
        <v>7626</v>
      </c>
      <c r="AJ611" s="17" t="s">
        <v>6264</v>
      </c>
      <c r="AK611" s="17" t="s">
        <v>94</v>
      </c>
      <c r="AL611" s="17" t="s">
        <v>7627</v>
      </c>
      <c r="AM611" s="17" t="s">
        <v>95</v>
      </c>
      <c r="AN611" s="17" t="s">
        <v>94</v>
      </c>
      <c r="AO611" s="17" t="s">
        <v>7628</v>
      </c>
      <c r="AP611" s="17" t="s">
        <v>7629</v>
      </c>
      <c r="AQ611" s="17" t="s">
        <v>6702</v>
      </c>
      <c r="AR611" s="17" t="s">
        <v>7630</v>
      </c>
      <c r="AS611" s="17" t="s">
        <v>7631</v>
      </c>
      <c r="AT611" s="17"/>
      <c r="AU611" s="30" t="s">
        <v>7632</v>
      </c>
      <c r="AV611" s="14" t="s">
        <v>94</v>
      </c>
      <c r="AW611" s="74"/>
      <c r="AX611" s="1"/>
      <c r="AY611" s="17" t="s">
        <v>101</v>
      </c>
    </row>
    <row r="612" spans="1:51" ht="15" customHeight="1" x14ac:dyDescent="0.25">
      <c r="A612" s="5">
        <v>593</v>
      </c>
      <c r="B612" s="9">
        <v>593</v>
      </c>
      <c r="C612" s="9" t="s">
        <v>7633</v>
      </c>
      <c r="D612" s="57" t="str">
        <f>HYPERLINK("http://prodenv.dep.state.fl.us/DepNexus/public/electronic-documents/OG_593/facility!search","OG_593_Docs")</f>
        <v>OG_593_Docs</v>
      </c>
      <c r="E612" s="57" t="str">
        <f>HYPERLINK("https://ca.dep.state.fl.us/mapdirect/?focus=oilandgas&amp;zoom=query&amp;querytype=oilandgas&amp;queryvalues=OG_593","OG_593_Map")</f>
        <v>OG_593_Map</v>
      </c>
      <c r="F612" s="1" t="s">
        <v>1797</v>
      </c>
      <c r="G612" s="1" t="s">
        <v>79</v>
      </c>
      <c r="H612" s="1" t="s">
        <v>176</v>
      </c>
      <c r="I612" s="1" t="s">
        <v>7634</v>
      </c>
      <c r="J612" s="17" t="s">
        <v>82</v>
      </c>
      <c r="K612" s="17" t="s">
        <v>83</v>
      </c>
      <c r="L612" s="17"/>
      <c r="M612" s="17"/>
      <c r="N612" s="52" t="s">
        <v>6529</v>
      </c>
      <c r="O612" s="17" t="s">
        <v>86</v>
      </c>
      <c r="P612" s="17" t="s">
        <v>86</v>
      </c>
      <c r="Q612" s="81" t="s">
        <v>7635</v>
      </c>
      <c r="R612" s="11">
        <v>30.898795</v>
      </c>
      <c r="S612" s="11">
        <v>-87.136707000000001</v>
      </c>
      <c r="T612" s="11" t="s">
        <v>7636</v>
      </c>
      <c r="U612" s="11" t="s">
        <v>7637</v>
      </c>
      <c r="V612" s="17" t="s">
        <v>7638</v>
      </c>
      <c r="W612" s="17" t="s">
        <v>110</v>
      </c>
      <c r="X612" s="70">
        <v>238.4</v>
      </c>
      <c r="Y612" s="70">
        <v>212.2</v>
      </c>
      <c r="Z612" s="13">
        <v>26428</v>
      </c>
      <c r="AA612" s="13">
        <v>26453</v>
      </c>
      <c r="AB612" s="13"/>
      <c r="AC612" s="13">
        <v>28045</v>
      </c>
      <c r="AD612" s="86">
        <v>16996</v>
      </c>
      <c r="AE612" s="86">
        <v>16996</v>
      </c>
      <c r="AF612" s="70" t="s">
        <v>5849</v>
      </c>
      <c r="AG612" s="17" t="s">
        <v>7639</v>
      </c>
      <c r="AH612" s="17" t="s">
        <v>94</v>
      </c>
      <c r="AI612" s="70" t="s">
        <v>7640</v>
      </c>
      <c r="AJ612" s="17" t="s">
        <v>7641</v>
      </c>
      <c r="AK612" s="17" t="s">
        <v>825</v>
      </c>
      <c r="AL612" s="17" t="s">
        <v>7642</v>
      </c>
      <c r="AM612" s="17" t="s">
        <v>94</v>
      </c>
      <c r="AN612" s="17" t="s">
        <v>94</v>
      </c>
      <c r="AO612" s="17" t="s">
        <v>98</v>
      </c>
      <c r="AP612" s="17" t="s">
        <v>98</v>
      </c>
      <c r="AQ612" s="17" t="s">
        <v>98</v>
      </c>
      <c r="AR612" s="17" t="s">
        <v>7643</v>
      </c>
      <c r="AS612" s="17" t="s">
        <v>7644</v>
      </c>
      <c r="AT612" s="17"/>
      <c r="AU612" s="30" t="s">
        <v>7645</v>
      </c>
      <c r="AV612" s="14">
        <v>11448</v>
      </c>
      <c r="AW612" s="74"/>
      <c r="AX612" s="1"/>
      <c r="AY612" s="17" t="s">
        <v>101</v>
      </c>
    </row>
    <row r="613" spans="1:51" ht="12.75" customHeight="1" x14ac:dyDescent="0.25">
      <c r="A613" s="5">
        <v>594</v>
      </c>
      <c r="B613" s="9">
        <v>594</v>
      </c>
      <c r="C613" s="9" t="s">
        <v>7646</v>
      </c>
      <c r="D613" s="57" t="str">
        <f>HYPERLINK("http://prodenv.dep.state.fl.us/DepNexus/public/electronic-documents/OG_594/facility!search","OG_594_Docs")</f>
        <v>OG_594_Docs</v>
      </c>
      <c r="E613" s="57" t="str">
        <f>HYPERLINK("https://ca.dep.state.fl.us/mapdirect/?focus=oilandgas&amp;zoom=query&amp;querytype=oilandgas&amp;queryvalues=OG_594","OG_594_Map")</f>
        <v>OG_594_Map</v>
      </c>
      <c r="F613" s="1" t="s">
        <v>1752</v>
      </c>
      <c r="G613" s="1" t="s">
        <v>4496</v>
      </c>
      <c r="H613" s="1" t="s">
        <v>176</v>
      </c>
      <c r="I613" s="1" t="s">
        <v>7647</v>
      </c>
      <c r="J613" s="17" t="s">
        <v>268</v>
      </c>
      <c r="K613" s="17" t="s">
        <v>412</v>
      </c>
      <c r="L613" s="17"/>
      <c r="M613" s="17"/>
      <c r="N613" s="52" t="s">
        <v>3956</v>
      </c>
      <c r="O613" s="17" t="s">
        <v>86</v>
      </c>
      <c r="P613" s="17" t="s">
        <v>86</v>
      </c>
      <c r="Q613" s="81" t="s">
        <v>5375</v>
      </c>
      <c r="R613" s="11">
        <v>26.540617000000001</v>
      </c>
      <c r="S613" s="11">
        <v>-81.557933000000006</v>
      </c>
      <c r="T613" s="11" t="s">
        <v>7648</v>
      </c>
      <c r="U613" s="11" t="s">
        <v>7649</v>
      </c>
      <c r="V613" s="17" t="s">
        <v>7650</v>
      </c>
      <c r="W613" s="17" t="s">
        <v>110</v>
      </c>
      <c r="X613" s="70">
        <v>47.2</v>
      </c>
      <c r="Y613" s="70">
        <v>31.1</v>
      </c>
      <c r="Z613" s="13">
        <v>26442</v>
      </c>
      <c r="AA613" s="13">
        <v>26489</v>
      </c>
      <c r="AB613" s="13">
        <v>26616</v>
      </c>
      <c r="AC613" s="13">
        <v>32434</v>
      </c>
      <c r="AD613" s="86">
        <v>11525</v>
      </c>
      <c r="AE613" s="86">
        <v>11525</v>
      </c>
      <c r="AF613" s="70" t="s">
        <v>7651</v>
      </c>
      <c r="AG613" s="17" t="s">
        <v>7652</v>
      </c>
      <c r="AH613" s="17" t="s">
        <v>7653</v>
      </c>
      <c r="AI613" s="70" t="s">
        <v>7654</v>
      </c>
      <c r="AJ613" s="17" t="s">
        <v>7655</v>
      </c>
      <c r="AK613" s="17" t="s">
        <v>825</v>
      </c>
      <c r="AL613" s="17" t="s">
        <v>7656</v>
      </c>
      <c r="AM613" s="17" t="s">
        <v>94</v>
      </c>
      <c r="AN613" s="17" t="s">
        <v>94</v>
      </c>
      <c r="AO613" s="17" t="s">
        <v>7657</v>
      </c>
      <c r="AP613" s="17" t="s">
        <v>4176</v>
      </c>
      <c r="AQ613" s="17" t="s">
        <v>7658</v>
      </c>
      <c r="AR613" s="17" t="s">
        <v>7659</v>
      </c>
      <c r="AS613" s="17" t="s">
        <v>7660</v>
      </c>
      <c r="AT613" s="17"/>
      <c r="AU613" s="30" t="s">
        <v>7661</v>
      </c>
      <c r="AV613" s="14">
        <v>11538</v>
      </c>
      <c r="AW613" s="74"/>
      <c r="AX613" s="1"/>
      <c r="AY613" s="17" t="s">
        <v>101</v>
      </c>
    </row>
    <row r="614" spans="1:51" ht="15" customHeight="1" x14ac:dyDescent="0.25">
      <c r="A614" s="5">
        <v>595</v>
      </c>
      <c r="B614" s="9">
        <v>595</v>
      </c>
      <c r="C614" s="9" t="s">
        <v>7662</v>
      </c>
      <c r="D614" s="57" t="str">
        <f>HYPERLINK("http://prodenv.dep.state.fl.us/DepNexus/public/electronic-documents/OG_595/facility!search","OG_595_Docs")</f>
        <v>OG_595_Docs</v>
      </c>
      <c r="E614" s="57" t="str">
        <f>HYPERLINK("https://ca.dep.state.fl.us/mapdirect/?focus=oilandgas&amp;zoom=query&amp;querytype=oilandgas&amp;queryvalues=OG_595","OG_595_Map")</f>
        <v>OG_595_Map</v>
      </c>
      <c r="F614" s="1" t="s">
        <v>1797</v>
      </c>
      <c r="G614" s="1" t="s">
        <v>79</v>
      </c>
      <c r="H614" s="1" t="s">
        <v>5474</v>
      </c>
      <c r="I614" s="1" t="s">
        <v>7663</v>
      </c>
      <c r="J614" s="17" t="s">
        <v>82</v>
      </c>
      <c r="K614" s="17" t="s">
        <v>83</v>
      </c>
      <c r="L614" s="17"/>
      <c r="M614" s="17" t="s">
        <v>101</v>
      </c>
      <c r="N614" s="52" t="s">
        <v>4853</v>
      </c>
      <c r="O614" s="17" t="s">
        <v>86</v>
      </c>
      <c r="P614" s="17" t="s">
        <v>86</v>
      </c>
      <c r="Q614" s="81" t="s">
        <v>7664</v>
      </c>
      <c r="R614" s="11">
        <v>30.631831999999999</v>
      </c>
      <c r="S614" s="11">
        <v>-86.907724999999999</v>
      </c>
      <c r="T614" s="11" t="s">
        <v>7665</v>
      </c>
      <c r="U614" s="11" t="s">
        <v>7666</v>
      </c>
      <c r="V614" s="17" t="s">
        <v>7667</v>
      </c>
      <c r="W614" s="17" t="s">
        <v>110</v>
      </c>
      <c r="X614" s="70">
        <v>170.16</v>
      </c>
      <c r="Y614" s="70">
        <v>148.36000000000001</v>
      </c>
      <c r="Z614" s="13">
        <v>26442</v>
      </c>
      <c r="AA614" s="13">
        <v>26491</v>
      </c>
      <c r="AB614" s="13"/>
      <c r="AC614" s="13">
        <v>26567</v>
      </c>
      <c r="AD614" s="86">
        <v>16861</v>
      </c>
      <c r="AE614" s="86">
        <v>16861</v>
      </c>
      <c r="AF614" s="70" t="s">
        <v>7668</v>
      </c>
      <c r="AG614" s="17" t="s">
        <v>7669</v>
      </c>
      <c r="AH614" s="17" t="s">
        <v>94</v>
      </c>
      <c r="AI614" s="70" t="s">
        <v>94</v>
      </c>
      <c r="AJ614" s="17" t="s">
        <v>94</v>
      </c>
      <c r="AK614" s="17" t="s">
        <v>95</v>
      </c>
      <c r="AL614" s="17" t="s">
        <v>7670</v>
      </c>
      <c r="AM614" s="17" t="s">
        <v>94</v>
      </c>
      <c r="AN614" s="17" t="s">
        <v>94</v>
      </c>
      <c r="AO614" s="17" t="s">
        <v>98</v>
      </c>
      <c r="AP614" s="17" t="s">
        <v>98</v>
      </c>
      <c r="AQ614" s="17" t="s">
        <v>98</v>
      </c>
      <c r="AR614" s="17" t="s">
        <v>94</v>
      </c>
      <c r="AS614" s="17" t="s">
        <v>7671</v>
      </c>
      <c r="AT614" s="17"/>
      <c r="AU614" s="30" t="s">
        <v>7672</v>
      </c>
      <c r="AV614" s="14">
        <v>11532</v>
      </c>
      <c r="AW614" s="74"/>
      <c r="AX614" s="1"/>
      <c r="AY614" s="17" t="s">
        <v>101</v>
      </c>
    </row>
    <row r="615" spans="1:51" ht="12.75" customHeight="1" x14ac:dyDescent="0.25">
      <c r="A615" s="5">
        <v>596</v>
      </c>
      <c r="B615" s="9">
        <v>596</v>
      </c>
      <c r="C615" s="9" t="s">
        <v>7673</v>
      </c>
      <c r="D615" s="57" t="str">
        <f>HYPERLINK("http://prodenv.dep.state.fl.us/DepNexus/public/electronic-documents/OG_596/facility!search","OG_596_Docs")</f>
        <v>OG_596_Docs</v>
      </c>
      <c r="E615" s="57" t="str">
        <f>HYPERLINK("https://ca.dep.state.fl.us/mapdirect/?focus=oilandgas&amp;zoom=query&amp;querytype=oilandgas&amp;queryvalues=OG_596","OG_596_Map")</f>
        <v>OG_596_Map</v>
      </c>
      <c r="F615" s="1" t="s">
        <v>265</v>
      </c>
      <c r="G615" s="1" t="s">
        <v>79</v>
      </c>
      <c r="H615" s="1" t="s">
        <v>4242</v>
      </c>
      <c r="I615" s="1" t="s">
        <v>7674</v>
      </c>
      <c r="J615" s="17" t="s">
        <v>82</v>
      </c>
      <c r="K615" s="17" t="s">
        <v>83</v>
      </c>
      <c r="L615" s="17"/>
      <c r="M615" s="17" t="s">
        <v>101</v>
      </c>
      <c r="N615" s="52" t="s">
        <v>7675</v>
      </c>
      <c r="O615" s="17" t="s">
        <v>270</v>
      </c>
      <c r="P615" s="17" t="s">
        <v>3395</v>
      </c>
      <c r="Q615" s="81" t="s">
        <v>7676</v>
      </c>
      <c r="R615" s="11">
        <v>25.859202</v>
      </c>
      <c r="S615" s="11">
        <v>-81.089040999999995</v>
      </c>
      <c r="T615" s="11" t="s">
        <v>7677</v>
      </c>
      <c r="U615" s="11" t="s">
        <v>7678</v>
      </c>
      <c r="V615" s="17" t="s">
        <v>7679</v>
      </c>
      <c r="W615" s="17" t="s">
        <v>110</v>
      </c>
      <c r="X615" s="70"/>
      <c r="Y615" s="70"/>
      <c r="Z615" s="13">
        <v>26456</v>
      </c>
      <c r="AA615" s="13">
        <v>26553</v>
      </c>
      <c r="AB615" s="13"/>
      <c r="AC615" s="13">
        <v>26645</v>
      </c>
      <c r="AD615" s="86">
        <v>16456</v>
      </c>
      <c r="AE615" s="86">
        <v>16456</v>
      </c>
      <c r="AF615" s="70" t="s">
        <v>7680</v>
      </c>
      <c r="AG615" s="17" t="s">
        <v>7681</v>
      </c>
      <c r="AH615" s="17" t="s">
        <v>7682</v>
      </c>
      <c r="AI615" s="70" t="s">
        <v>7683</v>
      </c>
      <c r="AJ615" s="17" t="s">
        <v>94</v>
      </c>
      <c r="AK615" s="17" t="s">
        <v>95</v>
      </c>
      <c r="AL615" s="17" t="s">
        <v>95</v>
      </c>
      <c r="AM615" s="17" t="s">
        <v>94</v>
      </c>
      <c r="AN615" s="17" t="s">
        <v>94</v>
      </c>
      <c r="AO615" s="17" t="s">
        <v>98</v>
      </c>
      <c r="AP615" s="17" t="s">
        <v>98</v>
      </c>
      <c r="AQ615" s="17" t="s">
        <v>98</v>
      </c>
      <c r="AR615" s="17" t="s">
        <v>7684</v>
      </c>
      <c r="AS615" s="17" t="s">
        <v>7685</v>
      </c>
      <c r="AT615" s="17">
        <v>227</v>
      </c>
      <c r="AU615" s="30" t="s">
        <v>7686</v>
      </c>
      <c r="AV615" s="14">
        <v>11765</v>
      </c>
      <c r="AW615" s="74"/>
      <c r="AX615" s="1"/>
      <c r="AY615" s="17" t="s">
        <v>101</v>
      </c>
    </row>
    <row r="616" spans="1:51" ht="12.75" customHeight="1" x14ac:dyDescent="0.25">
      <c r="A616" s="5">
        <v>598</v>
      </c>
      <c r="B616" s="9">
        <v>598</v>
      </c>
      <c r="C616" s="9" t="s">
        <v>7687</v>
      </c>
      <c r="D616" s="57" t="str">
        <f>HYPERLINK("http://prodenv.dep.state.fl.us/DepNexus/public/electronic-documents/OG_598/facility!search","OG_598_Docs")</f>
        <v>OG_598_Docs</v>
      </c>
      <c r="E616" s="57" t="str">
        <f>HYPERLINK("https://ca.dep.state.fl.us/mapdirect/?focus=oilandgas&amp;zoom=query&amp;querytype=oilandgas&amp;queryvalues=OG_598","OG_598_Map")</f>
        <v>OG_598_Map</v>
      </c>
      <c r="F616" s="1" t="s">
        <v>1797</v>
      </c>
      <c r="G616" s="1" t="s">
        <v>5133</v>
      </c>
      <c r="H616" s="1" t="s">
        <v>1363</v>
      </c>
      <c r="I616" s="1" t="s">
        <v>7688</v>
      </c>
      <c r="J616" s="17" t="s">
        <v>3646</v>
      </c>
      <c r="K616" s="17" t="s">
        <v>412</v>
      </c>
      <c r="L616" s="17"/>
      <c r="M616" s="17"/>
      <c r="N616" s="52" t="s">
        <v>7689</v>
      </c>
      <c r="O616" s="17" t="s">
        <v>86</v>
      </c>
      <c r="P616" s="17" t="s">
        <v>86</v>
      </c>
      <c r="Q616" s="81" t="s">
        <v>3775</v>
      </c>
      <c r="R616" s="11">
        <v>30.936834000000001</v>
      </c>
      <c r="S616" s="11">
        <v>-87.144912000000005</v>
      </c>
      <c r="T616" s="11" t="s">
        <v>7690</v>
      </c>
      <c r="U616" s="11" t="s">
        <v>7691</v>
      </c>
      <c r="V616" s="17" t="s">
        <v>7692</v>
      </c>
      <c r="W616" s="17" t="s">
        <v>110</v>
      </c>
      <c r="X616" s="70">
        <v>245</v>
      </c>
      <c r="Y616" s="70">
        <v>243</v>
      </c>
      <c r="Z616" s="13">
        <v>26470</v>
      </c>
      <c r="AA616" s="13">
        <v>26481</v>
      </c>
      <c r="AB616" s="13">
        <v>26557</v>
      </c>
      <c r="AC616" s="13"/>
      <c r="AD616" s="86">
        <v>15917</v>
      </c>
      <c r="AE616" s="86">
        <v>15917</v>
      </c>
      <c r="AF616" s="70" t="s">
        <v>6224</v>
      </c>
      <c r="AG616" s="17" t="s">
        <v>7693</v>
      </c>
      <c r="AH616" s="17" t="s">
        <v>94</v>
      </c>
      <c r="AI616" s="70" t="s">
        <v>7694</v>
      </c>
      <c r="AJ616" s="17" t="s">
        <v>7695</v>
      </c>
      <c r="AK616" s="17" t="s">
        <v>94</v>
      </c>
      <c r="AL616" s="17" t="s">
        <v>7696</v>
      </c>
      <c r="AM616" s="17" t="s">
        <v>94</v>
      </c>
      <c r="AN616" s="17" t="s">
        <v>94</v>
      </c>
      <c r="AO616" s="17" t="s">
        <v>7697</v>
      </c>
      <c r="AP616" s="17" t="s">
        <v>7698</v>
      </c>
      <c r="AQ616" s="17" t="s">
        <v>7699</v>
      </c>
      <c r="AR616" s="17" t="s">
        <v>7700</v>
      </c>
      <c r="AS616" s="17"/>
      <c r="AT616" s="17"/>
      <c r="AU616" s="30" t="s">
        <v>7701</v>
      </c>
      <c r="AV616" s="14">
        <v>11537</v>
      </c>
      <c r="AW616" s="74">
        <v>309894</v>
      </c>
      <c r="AX616" s="1"/>
      <c r="AY616" s="17" t="s">
        <v>101</v>
      </c>
    </row>
    <row r="617" spans="1:51" ht="12.75" customHeight="1" x14ac:dyDescent="0.25">
      <c r="A617" s="5">
        <v>599</v>
      </c>
      <c r="B617" s="9">
        <v>599</v>
      </c>
      <c r="C617" s="9" t="s">
        <v>7702</v>
      </c>
      <c r="D617" s="57" t="str">
        <f>HYPERLINK("http://prodenv.dep.state.fl.us/DepNexus/public/electronic-documents/OG_599/facility!search","OG_599_Docs")</f>
        <v>OG_599_Docs</v>
      </c>
      <c r="E617" s="57" t="str">
        <f>HYPERLINK("https://ca.dep.state.fl.us/mapdirect/?focus=oilandgas&amp;zoom=query&amp;querytype=oilandgas&amp;queryvalues=OG_599","OG_599_Map")</f>
        <v>OG_599_Map</v>
      </c>
      <c r="F617" s="1" t="s">
        <v>1797</v>
      </c>
      <c r="G617" s="1" t="s">
        <v>5133</v>
      </c>
      <c r="H617" s="1" t="s">
        <v>176</v>
      </c>
      <c r="I617" s="1" t="s">
        <v>7703</v>
      </c>
      <c r="J617" s="17" t="s">
        <v>268</v>
      </c>
      <c r="K617" s="17" t="s">
        <v>412</v>
      </c>
      <c r="L617" s="17"/>
      <c r="M617" s="17"/>
      <c r="N617" s="52" t="s">
        <v>6046</v>
      </c>
      <c r="O617" s="17" t="s">
        <v>86</v>
      </c>
      <c r="P617" s="17" t="s">
        <v>86</v>
      </c>
      <c r="Q617" s="81" t="s">
        <v>7704</v>
      </c>
      <c r="R617" s="11">
        <v>30.936596999999999</v>
      </c>
      <c r="S617" s="11">
        <v>-87.136860999999996</v>
      </c>
      <c r="T617" s="11" t="s">
        <v>7705</v>
      </c>
      <c r="U617" s="11" t="s">
        <v>7706</v>
      </c>
      <c r="V617" s="17" t="s">
        <v>809</v>
      </c>
      <c r="W617" s="17" t="s">
        <v>110</v>
      </c>
      <c r="X617" s="70">
        <v>260</v>
      </c>
      <c r="Y617" s="70">
        <v>243.6</v>
      </c>
      <c r="Z617" s="13">
        <v>26470</v>
      </c>
      <c r="AA617" s="13">
        <v>26465</v>
      </c>
      <c r="AB617" s="13">
        <v>26609</v>
      </c>
      <c r="AC617" s="13">
        <v>38302</v>
      </c>
      <c r="AD617" s="86">
        <v>15977</v>
      </c>
      <c r="AE617" s="86">
        <v>15977</v>
      </c>
      <c r="AF617" s="70" t="s">
        <v>5849</v>
      </c>
      <c r="AG617" s="17" t="s">
        <v>7707</v>
      </c>
      <c r="AH617" s="17" t="s">
        <v>94</v>
      </c>
      <c r="AI617" s="70" t="s">
        <v>7032</v>
      </c>
      <c r="AJ617" s="17" t="s">
        <v>7708</v>
      </c>
      <c r="AK617" s="17" t="s">
        <v>95</v>
      </c>
      <c r="AL617" s="17" t="s">
        <v>7709</v>
      </c>
      <c r="AM617" s="17" t="s">
        <v>95</v>
      </c>
      <c r="AN617" s="17" t="s">
        <v>94</v>
      </c>
      <c r="AO617" s="17" t="s">
        <v>7710</v>
      </c>
      <c r="AP617" s="17" t="s">
        <v>7711</v>
      </c>
      <c r="AQ617" s="17" t="s">
        <v>6702</v>
      </c>
      <c r="AR617" s="17" t="s">
        <v>7712</v>
      </c>
      <c r="AS617" s="17" t="s">
        <v>7713</v>
      </c>
      <c r="AT617" s="17"/>
      <c r="AU617" s="30" t="s">
        <v>7714</v>
      </c>
      <c r="AV617" s="14">
        <v>11497</v>
      </c>
      <c r="AW617" s="74"/>
      <c r="AX617" s="1"/>
      <c r="AY617" s="17" t="s">
        <v>101</v>
      </c>
    </row>
    <row r="618" spans="1:51" ht="15" customHeight="1" x14ac:dyDescent="0.25">
      <c r="A618" s="5">
        <v>600</v>
      </c>
      <c r="B618" s="9">
        <v>600</v>
      </c>
      <c r="C618" s="9" t="s">
        <v>7715</v>
      </c>
      <c r="D618" s="57" t="str">
        <f>HYPERLINK("http://prodenv.dep.state.fl.us/DepNexus/public/electronic-documents/OG_600/facility!search","OG_600_Docs")</f>
        <v>OG_600_Docs</v>
      </c>
      <c r="E618" s="57" t="str">
        <f>HYPERLINK("https://ca.dep.state.fl.us/mapdirect/?focus=oilandgas&amp;zoom=query&amp;querytype=oilandgas&amp;queryvalues=OG_600","OG_600_Map")</f>
        <v>OG_600_Map</v>
      </c>
      <c r="F618" s="1" t="s">
        <v>1797</v>
      </c>
      <c r="G618" s="1" t="s">
        <v>5133</v>
      </c>
      <c r="H618" s="1" t="s">
        <v>7716</v>
      </c>
      <c r="I618" s="1" t="s">
        <v>7717</v>
      </c>
      <c r="J618" s="17" t="s">
        <v>268</v>
      </c>
      <c r="K618" s="17" t="s">
        <v>4266</v>
      </c>
      <c r="L618" s="17"/>
      <c r="M618" s="17"/>
      <c r="N618" s="52" t="s">
        <v>7718</v>
      </c>
      <c r="O618" s="17" t="s">
        <v>86</v>
      </c>
      <c r="P618" s="17" t="s">
        <v>86</v>
      </c>
      <c r="Q618" s="81" t="s">
        <v>7719</v>
      </c>
      <c r="R618" s="11">
        <v>30.922225999999998</v>
      </c>
      <c r="S618" s="11">
        <v>-87.158405999999999</v>
      </c>
      <c r="T618" s="11" t="s">
        <v>7720</v>
      </c>
      <c r="U618" s="11" t="s">
        <v>7721</v>
      </c>
      <c r="V618" s="17" t="s">
        <v>7722</v>
      </c>
      <c r="W618" s="17" t="s">
        <v>110</v>
      </c>
      <c r="X618" s="70">
        <v>275.2</v>
      </c>
      <c r="Y618" s="70">
        <v>255.6</v>
      </c>
      <c r="Z618" s="13">
        <v>26470</v>
      </c>
      <c r="AA618" s="13">
        <v>26517</v>
      </c>
      <c r="AB618" s="13">
        <v>26609</v>
      </c>
      <c r="AC618" s="13">
        <v>38282</v>
      </c>
      <c r="AD618" s="86">
        <v>16095</v>
      </c>
      <c r="AE618" s="86">
        <v>16095</v>
      </c>
      <c r="AF618" s="70" t="s">
        <v>7723</v>
      </c>
      <c r="AG618" s="17" t="s">
        <v>7724</v>
      </c>
      <c r="AH618" s="17" t="s">
        <v>94</v>
      </c>
      <c r="AI618" s="70" t="s">
        <v>7725</v>
      </c>
      <c r="AJ618" s="17" t="s">
        <v>7726</v>
      </c>
      <c r="AK618" s="17" t="s">
        <v>94</v>
      </c>
      <c r="AL618" s="17" t="s">
        <v>7727</v>
      </c>
      <c r="AM618" s="17" t="s">
        <v>95</v>
      </c>
      <c r="AN618" s="17" t="s">
        <v>94</v>
      </c>
      <c r="AO618" s="17" t="s">
        <v>6386</v>
      </c>
      <c r="AP618" s="17" t="s">
        <v>7728</v>
      </c>
      <c r="AQ618" s="17" t="s">
        <v>7184</v>
      </c>
      <c r="AR618" s="17" t="s">
        <v>7729</v>
      </c>
      <c r="AS618" s="17" t="s">
        <v>7730</v>
      </c>
      <c r="AT618" s="17"/>
      <c r="AU618" s="30" t="s">
        <v>7731</v>
      </c>
      <c r="AV618" s="14">
        <v>11607</v>
      </c>
      <c r="AW618" s="74"/>
      <c r="AX618" s="1" t="s">
        <v>7732</v>
      </c>
      <c r="AY618" s="17" t="s">
        <v>101</v>
      </c>
    </row>
    <row r="619" spans="1:51" ht="15" customHeight="1" x14ac:dyDescent="0.25">
      <c r="A619" s="5">
        <v>601</v>
      </c>
      <c r="B619" s="9">
        <v>601</v>
      </c>
      <c r="C619" s="9" t="s">
        <v>7733</v>
      </c>
      <c r="D619" s="57" t="str">
        <f>HYPERLINK("http://prodenv.dep.state.fl.us/DepNexus/public/electronic-documents/OG_601/facility!search","OG_601_Docs")</f>
        <v>OG_601_Docs</v>
      </c>
      <c r="E619" s="57" t="str">
        <f>HYPERLINK("https://ca.dep.state.fl.us/mapdirect/?focus=oilandgas&amp;zoom=query&amp;querytype=oilandgas&amp;queryvalues=OG_601","OG_601_Map")</f>
        <v>OG_601_Map</v>
      </c>
      <c r="F619" s="1" t="s">
        <v>1797</v>
      </c>
      <c r="G619" s="1" t="s">
        <v>6648</v>
      </c>
      <c r="H619" s="1" t="s">
        <v>176</v>
      </c>
      <c r="I619" s="1" t="s">
        <v>7734</v>
      </c>
      <c r="J619" s="17" t="s">
        <v>207</v>
      </c>
      <c r="K619" s="17" t="s">
        <v>208</v>
      </c>
      <c r="L619" s="17"/>
      <c r="M619" s="17" t="s">
        <v>207</v>
      </c>
      <c r="N619" s="52" t="s">
        <v>86</v>
      </c>
      <c r="O619" s="17" t="s">
        <v>86</v>
      </c>
      <c r="P619" s="17" t="s">
        <v>86</v>
      </c>
      <c r="Q619" s="81" t="s">
        <v>7735</v>
      </c>
      <c r="R619" s="11">
        <v>30.859835</v>
      </c>
      <c r="S619" s="11">
        <v>-87.095643999999993</v>
      </c>
      <c r="T619" s="11" t="s">
        <v>7736</v>
      </c>
      <c r="U619" s="11" t="s">
        <v>7737</v>
      </c>
      <c r="V619" s="17" t="s">
        <v>7679</v>
      </c>
      <c r="W619" s="17" t="s">
        <v>110</v>
      </c>
      <c r="X619" s="70"/>
      <c r="Y619" s="70"/>
      <c r="Z619" s="13">
        <v>26470</v>
      </c>
      <c r="AA619" s="13"/>
      <c r="AB619" s="13"/>
      <c r="AC619" s="13"/>
      <c r="AD619" s="86"/>
      <c r="AE619" s="70"/>
      <c r="AF619" s="70" t="s">
        <v>207</v>
      </c>
      <c r="AG619" s="14" t="s">
        <v>207</v>
      </c>
      <c r="AH619" s="14" t="s">
        <v>207</v>
      </c>
      <c r="AI619" s="70" t="s">
        <v>207</v>
      </c>
      <c r="AJ619" s="14" t="s">
        <v>207</v>
      </c>
      <c r="AK619" s="14" t="s">
        <v>207</v>
      </c>
      <c r="AL619" s="14" t="s">
        <v>207</v>
      </c>
      <c r="AM619" s="14" t="s">
        <v>207</v>
      </c>
      <c r="AN619" s="14" t="s">
        <v>207</v>
      </c>
      <c r="AO619" s="14" t="s">
        <v>207</v>
      </c>
      <c r="AP619" s="14" t="s">
        <v>207</v>
      </c>
      <c r="AQ619" s="14" t="s">
        <v>207</v>
      </c>
      <c r="AR619" s="14" t="s">
        <v>207</v>
      </c>
      <c r="AS619" s="14" t="s">
        <v>207</v>
      </c>
      <c r="AT619" s="14" t="s">
        <v>207</v>
      </c>
      <c r="AU619" s="30" t="s">
        <v>7738</v>
      </c>
      <c r="AV619" s="14" t="s">
        <v>207</v>
      </c>
      <c r="AW619" s="74"/>
      <c r="AX619" s="1"/>
      <c r="AY619" s="17" t="s">
        <v>101</v>
      </c>
    </row>
    <row r="620" spans="1:51" ht="15" customHeight="1" x14ac:dyDescent="0.25">
      <c r="A620" s="5">
        <v>602</v>
      </c>
      <c r="B620" s="9">
        <v>602</v>
      </c>
      <c r="C620" s="9" t="s">
        <v>7739</v>
      </c>
      <c r="D620" s="57" t="str">
        <f>HYPERLINK("http://prodenv.dep.state.fl.us/DepNexus/public/electronic-documents/OG_602/facility!search","OG_602_Docs")</f>
        <v>OG_602_Docs</v>
      </c>
      <c r="E620" s="57" t="str">
        <f>HYPERLINK("https://ca.dep.state.fl.us/mapdirect/?focus=oilandgas&amp;zoom=query&amp;querytype=oilandgas&amp;queryvalues=OG_602","OG_602_Map")</f>
        <v>OG_602_Map</v>
      </c>
      <c r="F620" s="1" t="s">
        <v>1797</v>
      </c>
      <c r="G620" s="1" t="s">
        <v>5133</v>
      </c>
      <c r="H620" s="1" t="s">
        <v>1363</v>
      </c>
      <c r="I620" s="1" t="s">
        <v>7740</v>
      </c>
      <c r="J620" s="17" t="s">
        <v>1476</v>
      </c>
      <c r="K620" s="17" t="s">
        <v>412</v>
      </c>
      <c r="L620" s="17"/>
      <c r="M620" s="17"/>
      <c r="N620" s="52" t="s">
        <v>6046</v>
      </c>
      <c r="O620" s="17" t="s">
        <v>86</v>
      </c>
      <c r="P620" s="17" t="s">
        <v>86</v>
      </c>
      <c r="Q620" s="81" t="s">
        <v>7741</v>
      </c>
      <c r="R620" s="11">
        <v>30.951160000000002</v>
      </c>
      <c r="S620" s="11">
        <v>-87.149309000000002</v>
      </c>
      <c r="T620" s="11" t="s">
        <v>7742</v>
      </c>
      <c r="U620" s="11" t="s">
        <v>7743</v>
      </c>
      <c r="V620" s="17" t="s">
        <v>7744</v>
      </c>
      <c r="W620" s="17" t="s">
        <v>110</v>
      </c>
      <c r="X620" s="70">
        <v>285</v>
      </c>
      <c r="Y620" s="70">
        <v>259</v>
      </c>
      <c r="Z620" s="13">
        <v>26485</v>
      </c>
      <c r="AA620" s="13">
        <v>26493</v>
      </c>
      <c r="AB620" s="13">
        <v>26557</v>
      </c>
      <c r="AC620" s="13">
        <v>44638</v>
      </c>
      <c r="AD620" s="86">
        <v>15885</v>
      </c>
      <c r="AE620" s="86">
        <v>15885</v>
      </c>
      <c r="AF620" s="70" t="s">
        <v>7745</v>
      </c>
      <c r="AG620" s="17" t="s">
        <v>7466</v>
      </c>
      <c r="AH620" s="17" t="s">
        <v>94</v>
      </c>
      <c r="AI620" s="70" t="s">
        <v>7746</v>
      </c>
      <c r="AJ620" s="17" t="s">
        <v>7747</v>
      </c>
      <c r="AK620" s="17" t="s">
        <v>95</v>
      </c>
      <c r="AL620" s="17" t="s">
        <v>7748</v>
      </c>
      <c r="AM620" s="17" t="s">
        <v>94</v>
      </c>
      <c r="AN620" s="17" t="s">
        <v>94</v>
      </c>
      <c r="AO620" s="17" t="s">
        <v>7749</v>
      </c>
      <c r="AP620" s="17" t="s">
        <v>7750</v>
      </c>
      <c r="AQ620" s="17" t="s">
        <v>94</v>
      </c>
      <c r="AR620" s="17" t="s">
        <v>7751</v>
      </c>
      <c r="AS620" s="17" t="s">
        <v>7752</v>
      </c>
      <c r="AT620" s="17">
        <v>251</v>
      </c>
      <c r="AU620" s="30" t="s">
        <v>7753</v>
      </c>
      <c r="AV620" s="14">
        <v>11603</v>
      </c>
      <c r="AW620" s="74">
        <v>309896</v>
      </c>
      <c r="AX620" s="1"/>
      <c r="AY620" s="17" t="s">
        <v>101</v>
      </c>
    </row>
    <row r="621" spans="1:51" ht="12.75" customHeight="1" x14ac:dyDescent="0.25">
      <c r="A621" s="5">
        <v>603</v>
      </c>
      <c r="B621" s="9">
        <v>603</v>
      </c>
      <c r="C621" s="9" t="s">
        <v>7754</v>
      </c>
      <c r="D621" s="57" t="str">
        <f>HYPERLINK("http://prodenv.dep.state.fl.us/DepNexus/public/electronic-documents/OG_603/facility!search","OG_603_Docs")</f>
        <v>OG_603_Docs</v>
      </c>
      <c r="E621" s="57" t="str">
        <f>HYPERLINK("https://ca.dep.state.fl.us/mapdirect/?focus=oilandgas&amp;zoom=query&amp;querytype=oilandgas&amp;queryvalues=OG_603","OG_603_Map")</f>
        <v>OG_603_Map</v>
      </c>
      <c r="F621" s="1" t="s">
        <v>1797</v>
      </c>
      <c r="G621" s="1" t="s">
        <v>5133</v>
      </c>
      <c r="H621" s="1" t="s">
        <v>1363</v>
      </c>
      <c r="I621" s="1" t="s">
        <v>7755</v>
      </c>
      <c r="J621" s="17" t="s">
        <v>5135</v>
      </c>
      <c r="K621" s="17" t="s">
        <v>4266</v>
      </c>
      <c r="L621" s="17"/>
      <c r="M621" s="17"/>
      <c r="N621" s="52" t="s">
        <v>6046</v>
      </c>
      <c r="O621" s="17" t="s">
        <v>86</v>
      </c>
      <c r="P621" s="17" t="s">
        <v>86</v>
      </c>
      <c r="Q621" s="81" t="s">
        <v>7756</v>
      </c>
      <c r="R621" s="11">
        <v>30.922086</v>
      </c>
      <c r="S621" s="11">
        <v>-87.136617000000001</v>
      </c>
      <c r="T621" s="11" t="s">
        <v>7757</v>
      </c>
      <c r="U621" s="11" t="s">
        <v>7758</v>
      </c>
      <c r="V621" s="17" t="s">
        <v>7759</v>
      </c>
      <c r="W621" s="17" t="s">
        <v>110</v>
      </c>
      <c r="X621" s="70">
        <v>194</v>
      </c>
      <c r="Y621" s="70">
        <v>177</v>
      </c>
      <c r="Z621" s="13">
        <v>26485</v>
      </c>
      <c r="AA621" s="13">
        <v>26524</v>
      </c>
      <c r="AB621" s="13">
        <v>26609</v>
      </c>
      <c r="AC621" s="13"/>
      <c r="AD621" s="86">
        <v>15995</v>
      </c>
      <c r="AE621" s="86">
        <v>15995</v>
      </c>
      <c r="AF621" s="70" t="s">
        <v>3172</v>
      </c>
      <c r="AG621" s="17" t="s">
        <v>7178</v>
      </c>
      <c r="AH621" s="17" t="s">
        <v>94</v>
      </c>
      <c r="AI621" s="70" t="s">
        <v>7760</v>
      </c>
      <c r="AJ621" s="17" t="s">
        <v>7761</v>
      </c>
      <c r="AK621" s="17" t="s">
        <v>94</v>
      </c>
      <c r="AL621" s="17" t="s">
        <v>7762</v>
      </c>
      <c r="AM621" s="17" t="s">
        <v>95</v>
      </c>
      <c r="AN621" s="17"/>
      <c r="AO621" s="17" t="s">
        <v>6742</v>
      </c>
      <c r="AP621" s="17" t="s">
        <v>7763</v>
      </c>
      <c r="AQ621" s="17" t="s">
        <v>5062</v>
      </c>
      <c r="AR621" s="17" t="s">
        <v>7764</v>
      </c>
      <c r="AS621" s="17"/>
      <c r="AT621" s="17"/>
      <c r="AU621" s="30" t="s">
        <v>7765</v>
      </c>
      <c r="AV621" s="14">
        <v>11535</v>
      </c>
      <c r="AW621" s="74">
        <v>311596</v>
      </c>
      <c r="AX621" s="1" t="s">
        <v>7766</v>
      </c>
      <c r="AY621" s="17" t="s">
        <v>101</v>
      </c>
    </row>
    <row r="622" spans="1:51" ht="15" customHeight="1" x14ac:dyDescent="0.25">
      <c r="A622" s="5">
        <v>604</v>
      </c>
      <c r="B622" s="9">
        <v>604</v>
      </c>
      <c r="C622" s="9" t="s">
        <v>7767</v>
      </c>
      <c r="D622" s="57" t="str">
        <f>HYPERLINK("http://prodenv.dep.state.fl.us/DepNexus/public/electronic-documents/OG_604/facility!search","OG_604_Docs")</f>
        <v>OG_604_Docs</v>
      </c>
      <c r="E622" s="57" t="str">
        <f>HYPERLINK("https://ca.dep.state.fl.us/mapdirect/?focus=oilandgas&amp;zoom=query&amp;querytype=oilandgas&amp;queryvalues=OG_604","OG_604_Map")</f>
        <v>OG_604_Map</v>
      </c>
      <c r="F622" s="1" t="s">
        <v>1682</v>
      </c>
      <c r="G622" s="1" t="s">
        <v>79</v>
      </c>
      <c r="H622" s="1" t="s">
        <v>5605</v>
      </c>
      <c r="I622" s="1" t="s">
        <v>7768</v>
      </c>
      <c r="J622" s="17" t="s">
        <v>82</v>
      </c>
      <c r="K622" s="17" t="s">
        <v>83</v>
      </c>
      <c r="L622" s="17"/>
      <c r="M622" s="17"/>
      <c r="N622" s="52" t="s">
        <v>7769</v>
      </c>
      <c r="O622" s="17" t="s">
        <v>86</v>
      </c>
      <c r="P622" s="17" t="s">
        <v>86</v>
      </c>
      <c r="Q622" s="81" t="s">
        <v>7770</v>
      </c>
      <c r="R622" s="11">
        <v>30.944343</v>
      </c>
      <c r="S622" s="11">
        <v>-87.255476999999999</v>
      </c>
      <c r="T622" s="11" t="s">
        <v>7771</v>
      </c>
      <c r="U622" s="11" t="s">
        <v>7772</v>
      </c>
      <c r="V622" s="17" t="s">
        <v>7773</v>
      </c>
      <c r="W622" s="17" t="s">
        <v>110</v>
      </c>
      <c r="X622" s="70">
        <v>67.069999999999993</v>
      </c>
      <c r="Y622" s="70">
        <v>40.770000000000003</v>
      </c>
      <c r="Z622" s="13">
        <v>26498</v>
      </c>
      <c r="AA622" s="13">
        <v>26519</v>
      </c>
      <c r="AB622" s="13"/>
      <c r="AC622" s="13">
        <v>26579</v>
      </c>
      <c r="AD622" s="86">
        <v>16418</v>
      </c>
      <c r="AE622" s="86">
        <v>16418</v>
      </c>
      <c r="AF622" s="70" t="s">
        <v>706</v>
      </c>
      <c r="AG622" s="17" t="s">
        <v>7774</v>
      </c>
      <c r="AH622" s="17" t="s">
        <v>94</v>
      </c>
      <c r="AI622" s="70" t="s">
        <v>94</v>
      </c>
      <c r="AJ622" s="17" t="s">
        <v>94</v>
      </c>
      <c r="AK622" s="17" t="s">
        <v>825</v>
      </c>
      <c r="AL622" s="17" t="s">
        <v>7775</v>
      </c>
      <c r="AM622" s="17" t="s">
        <v>825</v>
      </c>
      <c r="AN622" s="17" t="s">
        <v>94</v>
      </c>
      <c r="AO622" s="17" t="s">
        <v>98</v>
      </c>
      <c r="AP622" s="17" t="s">
        <v>98</v>
      </c>
      <c r="AQ622" s="17" t="s">
        <v>98</v>
      </c>
      <c r="AR622" s="17" t="s">
        <v>94</v>
      </c>
      <c r="AS622" s="17" t="s">
        <v>7776</v>
      </c>
      <c r="AT622" s="17"/>
      <c r="AU622" s="30" t="s">
        <v>7777</v>
      </c>
      <c r="AV622" s="14">
        <v>11605</v>
      </c>
      <c r="AW622" s="74"/>
      <c r="AX622" s="1"/>
      <c r="AY622" s="17" t="s">
        <v>101</v>
      </c>
    </row>
    <row r="623" spans="1:51" ht="15" customHeight="1" x14ac:dyDescent="0.25">
      <c r="A623" s="5">
        <v>605</v>
      </c>
      <c r="B623" s="9">
        <v>605</v>
      </c>
      <c r="C623" s="9" t="s">
        <v>7778</v>
      </c>
      <c r="D623" s="57" t="str">
        <f>HYPERLINK("http://prodenv.dep.state.fl.us/DepNexus/public/electronic-documents/OG_605/facility!search","OG_605_Docs")</f>
        <v>OG_605_Docs</v>
      </c>
      <c r="E623" s="57" t="str">
        <f>HYPERLINK("https://ca.dep.state.fl.us/mapdirect/?focus=oilandgas&amp;zoom=query&amp;querytype=oilandgas&amp;queryvalues=OG_605","OG_605_Map")</f>
        <v>OG_605_Map</v>
      </c>
      <c r="F623" s="1" t="s">
        <v>1682</v>
      </c>
      <c r="G623" s="1" t="s">
        <v>5133</v>
      </c>
      <c r="H623" s="1" t="s">
        <v>5605</v>
      </c>
      <c r="I623" s="1" t="s">
        <v>7779</v>
      </c>
      <c r="J623" s="17" t="s">
        <v>268</v>
      </c>
      <c r="K623" s="17" t="s">
        <v>412</v>
      </c>
      <c r="L623" s="17"/>
      <c r="M623" s="17"/>
      <c r="N623" s="52" t="s">
        <v>7780</v>
      </c>
      <c r="O623" s="17" t="s">
        <v>86</v>
      </c>
      <c r="P623" s="17" t="s">
        <v>86</v>
      </c>
      <c r="Q623" s="81" t="s">
        <v>7781</v>
      </c>
      <c r="R623" s="11">
        <v>30.981386000000001</v>
      </c>
      <c r="S623" s="11">
        <v>-87.217106999999999</v>
      </c>
      <c r="T623" s="11" t="s">
        <v>7782</v>
      </c>
      <c r="U623" s="11" t="s">
        <v>7783</v>
      </c>
      <c r="V623" s="17" t="s">
        <v>7784</v>
      </c>
      <c r="W623" s="17" t="s">
        <v>110</v>
      </c>
      <c r="X623" s="70">
        <v>28</v>
      </c>
      <c r="Y623" s="70">
        <v>53</v>
      </c>
      <c r="Z623" s="13">
        <v>26498</v>
      </c>
      <c r="AA623" s="13">
        <v>26642</v>
      </c>
      <c r="AB623" s="13">
        <v>26709</v>
      </c>
      <c r="AC623" s="13">
        <v>37916</v>
      </c>
      <c r="AD623" s="86">
        <v>15844</v>
      </c>
      <c r="AE623" s="86">
        <v>15844</v>
      </c>
      <c r="AF623" s="70" t="s">
        <v>3172</v>
      </c>
      <c r="AG623" s="17" t="s">
        <v>7785</v>
      </c>
      <c r="AH623" s="17" t="s">
        <v>94</v>
      </c>
      <c r="AI623" s="70" t="s">
        <v>7786</v>
      </c>
      <c r="AJ623" s="17" t="s">
        <v>7787</v>
      </c>
      <c r="AK623" s="17" t="s">
        <v>94</v>
      </c>
      <c r="AL623" s="17" t="s">
        <v>7788</v>
      </c>
      <c r="AM623" s="17" t="s">
        <v>95</v>
      </c>
      <c r="AN623" s="17" t="s">
        <v>86</v>
      </c>
      <c r="AO623" s="17" t="s">
        <v>7789</v>
      </c>
      <c r="AP623" s="17" t="s">
        <v>7790</v>
      </c>
      <c r="AQ623" s="17" t="s">
        <v>7791</v>
      </c>
      <c r="AR623" s="17" t="s">
        <v>7792</v>
      </c>
      <c r="AS623" s="17" t="s">
        <v>7793</v>
      </c>
      <c r="AT623" s="17">
        <v>253</v>
      </c>
      <c r="AU623" s="30" t="s">
        <v>7794</v>
      </c>
      <c r="AV623" s="14">
        <v>11792</v>
      </c>
      <c r="AW623" s="74"/>
      <c r="AX623" s="1"/>
      <c r="AY623" s="17" t="s">
        <v>101</v>
      </c>
    </row>
    <row r="624" spans="1:51" ht="12.75" customHeight="1" x14ac:dyDescent="0.25">
      <c r="A624" s="5">
        <v>606</v>
      </c>
      <c r="B624" s="9">
        <v>606</v>
      </c>
      <c r="C624" s="9" t="s">
        <v>7795</v>
      </c>
      <c r="D624" s="57" t="str">
        <f>HYPERLINK("http://prodenv.dep.state.fl.us/DepNexus/public/electronic-documents/OG_606/facility!search","OG_606_Docs")</f>
        <v>OG_606_Docs</v>
      </c>
      <c r="E624" s="57" t="str">
        <f>HYPERLINK("https://ca.dep.state.fl.us/mapdirect/?focus=oilandgas&amp;zoom=query&amp;querytype=oilandgas&amp;queryvalues=OG_606","OG_606_Map")</f>
        <v>OG_606_Map</v>
      </c>
      <c r="F624" s="1" t="s">
        <v>1752</v>
      </c>
      <c r="G624" s="1" t="s">
        <v>79</v>
      </c>
      <c r="H624" s="1" t="s">
        <v>5605</v>
      </c>
      <c r="I624" s="1" t="s">
        <v>7796</v>
      </c>
      <c r="J624" s="17" t="s">
        <v>82</v>
      </c>
      <c r="K624" s="17" t="s">
        <v>83</v>
      </c>
      <c r="L624" s="17"/>
      <c r="M624" s="17" t="s">
        <v>84</v>
      </c>
      <c r="N624" s="52" t="s">
        <v>7797</v>
      </c>
      <c r="O624" s="17" t="s">
        <v>86</v>
      </c>
      <c r="P624" s="17" t="s">
        <v>86</v>
      </c>
      <c r="Q624" s="81" t="s">
        <v>7798</v>
      </c>
      <c r="R624" s="11">
        <v>26.73874</v>
      </c>
      <c r="S624" s="11">
        <v>-81.329965000000001</v>
      </c>
      <c r="T624" s="11" t="s">
        <v>7799</v>
      </c>
      <c r="U624" s="11" t="s">
        <v>7800</v>
      </c>
      <c r="V624" s="17" t="s">
        <v>7801</v>
      </c>
      <c r="W624" s="17" t="s">
        <v>110</v>
      </c>
      <c r="X624" s="70">
        <v>38.299999999999997</v>
      </c>
      <c r="Y624" s="70">
        <v>23.8</v>
      </c>
      <c r="Z624" s="13">
        <v>26498</v>
      </c>
      <c r="AA624" s="13">
        <v>26557</v>
      </c>
      <c r="AB624" s="13"/>
      <c r="AC624" s="13">
        <v>26585</v>
      </c>
      <c r="AD624" s="86">
        <v>12212</v>
      </c>
      <c r="AE624" s="86">
        <v>12212</v>
      </c>
      <c r="AF624" s="70" t="s">
        <v>5190</v>
      </c>
      <c r="AG624" s="17" t="s">
        <v>6755</v>
      </c>
      <c r="AH624" s="17" t="s">
        <v>7802</v>
      </c>
      <c r="AI624" s="70" t="s">
        <v>94</v>
      </c>
      <c r="AJ624" s="17" t="s">
        <v>94</v>
      </c>
      <c r="AK624" s="17" t="s">
        <v>95</v>
      </c>
      <c r="AL624" s="17" t="s">
        <v>95</v>
      </c>
      <c r="AM624" s="17" t="s">
        <v>94</v>
      </c>
      <c r="AN624" s="17" t="s">
        <v>7803</v>
      </c>
      <c r="AO624" s="17" t="s">
        <v>98</v>
      </c>
      <c r="AP624" s="17" t="s">
        <v>98</v>
      </c>
      <c r="AQ624" s="17" t="s">
        <v>98</v>
      </c>
      <c r="AR624" s="17" t="s">
        <v>94</v>
      </c>
      <c r="AS624" s="17" t="s">
        <v>7804</v>
      </c>
      <c r="AT624" s="17">
        <v>199</v>
      </c>
      <c r="AU624" s="30" t="s">
        <v>7805</v>
      </c>
      <c r="AV624" s="14">
        <v>11772</v>
      </c>
      <c r="AW624" s="74"/>
      <c r="AX624" s="1"/>
      <c r="AY624" s="17" t="s">
        <v>101</v>
      </c>
    </row>
    <row r="625" spans="1:51" ht="15" customHeight="1" x14ac:dyDescent="0.25">
      <c r="A625" s="5">
        <v>607</v>
      </c>
      <c r="B625" s="9">
        <v>607</v>
      </c>
      <c r="C625" s="9" t="s">
        <v>7806</v>
      </c>
      <c r="D625" s="57" t="str">
        <f>HYPERLINK("http://prodenv.dep.state.fl.us/DepNexus/public/electronic-documents/OG_607/facility!search","OG_607_Docs")</f>
        <v>OG_607_Docs</v>
      </c>
      <c r="E625" s="57" t="str">
        <f>HYPERLINK("https://ca.dep.state.fl.us/mapdirect/?focus=oilandgas&amp;zoom=query&amp;querytype=oilandgas&amp;queryvalues=OG_607","OG_607_Map")</f>
        <v>OG_607_Map</v>
      </c>
      <c r="F625" s="1" t="s">
        <v>804</v>
      </c>
      <c r="G625" s="1" t="s">
        <v>79</v>
      </c>
      <c r="H625" s="1" t="s">
        <v>4064</v>
      </c>
      <c r="I625" s="1" t="s">
        <v>7807</v>
      </c>
      <c r="J625" s="17" t="s">
        <v>82</v>
      </c>
      <c r="K625" s="17" t="s">
        <v>83</v>
      </c>
      <c r="L625" s="17"/>
      <c r="M625" s="17" t="s">
        <v>101</v>
      </c>
      <c r="N625" s="52" t="s">
        <v>3193</v>
      </c>
      <c r="O625" s="17" t="s">
        <v>86</v>
      </c>
      <c r="P625" s="17" t="s">
        <v>86</v>
      </c>
      <c r="Q625" s="81" t="s">
        <v>7808</v>
      </c>
      <c r="R625" s="11">
        <v>29.512333000000002</v>
      </c>
      <c r="S625" s="11">
        <v>-81.568731999999997</v>
      </c>
      <c r="T625" s="11" t="s">
        <v>7809</v>
      </c>
      <c r="U625" s="11" t="s">
        <v>7810</v>
      </c>
      <c r="V625" s="17" t="s">
        <v>7811</v>
      </c>
      <c r="W625" s="17" t="s">
        <v>110</v>
      </c>
      <c r="X625" s="70"/>
      <c r="Y625" s="70">
        <v>23</v>
      </c>
      <c r="Z625" s="13">
        <v>26498</v>
      </c>
      <c r="AA625" s="13">
        <v>26511</v>
      </c>
      <c r="AB625" s="13">
        <v>26566</v>
      </c>
      <c r="AC625" s="13">
        <v>26566</v>
      </c>
      <c r="AD625" s="86">
        <v>5506</v>
      </c>
      <c r="AE625" s="86">
        <v>5506</v>
      </c>
      <c r="AF625" s="70" t="s">
        <v>7812</v>
      </c>
      <c r="AG625" s="17" t="s">
        <v>7813</v>
      </c>
      <c r="AH625" s="17" t="s">
        <v>7814</v>
      </c>
      <c r="AI625" s="70" t="s">
        <v>94</v>
      </c>
      <c r="AJ625" s="17" t="s">
        <v>94</v>
      </c>
      <c r="AK625" s="17" t="s">
        <v>95</v>
      </c>
      <c r="AL625" s="17" t="s">
        <v>86</v>
      </c>
      <c r="AM625" s="17" t="s">
        <v>94</v>
      </c>
      <c r="AN625" s="17" t="s">
        <v>94</v>
      </c>
      <c r="AO625" s="17" t="s">
        <v>98</v>
      </c>
      <c r="AP625" s="17" t="s">
        <v>98</v>
      </c>
      <c r="AQ625" s="17" t="s">
        <v>98</v>
      </c>
      <c r="AR625" s="17" t="s">
        <v>94</v>
      </c>
      <c r="AS625" s="17" t="s">
        <v>7815</v>
      </c>
      <c r="AT625" s="17">
        <v>132</v>
      </c>
      <c r="AU625" s="30" t="s">
        <v>7816</v>
      </c>
      <c r="AV625" s="14">
        <v>11530</v>
      </c>
      <c r="AW625" s="74"/>
      <c r="AX625" s="1"/>
      <c r="AY625" s="17" t="s">
        <v>101</v>
      </c>
    </row>
    <row r="626" spans="1:51" ht="12.75" customHeight="1" x14ac:dyDescent="0.25">
      <c r="A626" s="5">
        <v>608</v>
      </c>
      <c r="B626" s="9">
        <v>608</v>
      </c>
      <c r="C626" s="9" t="s">
        <v>7817</v>
      </c>
      <c r="D626" s="57" t="str">
        <f>HYPERLINK("http://prodenv.dep.state.fl.us/DepNexus/public/electronic-documents/OG_608/facility!search","OG_608_Docs")</f>
        <v>OG_608_Docs</v>
      </c>
      <c r="E626" s="57" t="str">
        <f>HYPERLINK("https://ca.dep.state.fl.us/mapdirect/?focus=oilandgas&amp;zoom=query&amp;querytype=oilandgas&amp;queryvalues=OG_608","OG_608_Map")</f>
        <v>OG_608_Map</v>
      </c>
      <c r="F626" s="1" t="s">
        <v>2354</v>
      </c>
      <c r="G626" s="1" t="s">
        <v>79</v>
      </c>
      <c r="H626" s="1" t="s">
        <v>6881</v>
      </c>
      <c r="I626" s="1" t="s">
        <v>7818</v>
      </c>
      <c r="J626" s="17" t="s">
        <v>207</v>
      </c>
      <c r="K626" s="17" t="s">
        <v>208</v>
      </c>
      <c r="L626" s="17"/>
      <c r="M626" s="17" t="s">
        <v>207</v>
      </c>
      <c r="N626" s="52" t="s">
        <v>86</v>
      </c>
      <c r="O626" s="17" t="s">
        <v>86</v>
      </c>
      <c r="P626" s="17" t="s">
        <v>86</v>
      </c>
      <c r="Q626" s="81" t="s">
        <v>7819</v>
      </c>
      <c r="R626" s="11">
        <v>28.21942</v>
      </c>
      <c r="S626" s="11">
        <v>-82.605091999999999</v>
      </c>
      <c r="T626" s="11" t="s">
        <v>7820</v>
      </c>
      <c r="U626" s="11" t="s">
        <v>7821</v>
      </c>
      <c r="V626" s="17" t="s">
        <v>7822</v>
      </c>
      <c r="W626" s="17" t="s">
        <v>110</v>
      </c>
      <c r="X626" s="70"/>
      <c r="Y626" s="70"/>
      <c r="Z626" s="13">
        <v>26498</v>
      </c>
      <c r="AA626" s="13"/>
      <c r="AB626" s="13"/>
      <c r="AC626" s="13"/>
      <c r="AD626" s="86"/>
      <c r="AE626" s="70"/>
      <c r="AF626" s="70" t="s">
        <v>207</v>
      </c>
      <c r="AG626" s="17" t="s">
        <v>207</v>
      </c>
      <c r="AH626" s="17" t="s">
        <v>207</v>
      </c>
      <c r="AI626" s="70" t="s">
        <v>207</v>
      </c>
      <c r="AJ626" s="17" t="s">
        <v>207</v>
      </c>
      <c r="AK626" s="17" t="s">
        <v>207</v>
      </c>
      <c r="AL626" s="17" t="s">
        <v>207</v>
      </c>
      <c r="AM626" s="17" t="s">
        <v>207</v>
      </c>
      <c r="AN626" s="17" t="s">
        <v>207</v>
      </c>
      <c r="AO626" s="17" t="s">
        <v>207</v>
      </c>
      <c r="AP626" s="17" t="s">
        <v>207</v>
      </c>
      <c r="AQ626" s="17" t="s">
        <v>207</v>
      </c>
      <c r="AR626" s="17" t="s">
        <v>207</v>
      </c>
      <c r="AS626" s="17" t="s">
        <v>207</v>
      </c>
      <c r="AT626" s="17" t="s">
        <v>207</v>
      </c>
      <c r="AU626" s="30" t="s">
        <v>7823</v>
      </c>
      <c r="AV626" s="14" t="s">
        <v>207</v>
      </c>
      <c r="AW626" s="74"/>
      <c r="AX626" s="1"/>
      <c r="AY626" s="17" t="s">
        <v>101</v>
      </c>
    </row>
    <row r="627" spans="1:51" ht="12.75" customHeight="1" x14ac:dyDescent="0.25">
      <c r="A627" s="5">
        <v>608.1</v>
      </c>
      <c r="B627" s="9" t="s">
        <v>7824</v>
      </c>
      <c r="C627" s="9" t="s">
        <v>7817</v>
      </c>
      <c r="D627" s="57" t="str">
        <f>HYPERLINK("http://prodenv.dep.state.fl.us/DepNexus/public/electronic-documents/OG_608/facility!search","OG_608_Docs")</f>
        <v>OG_608_Docs</v>
      </c>
      <c r="E627" s="57" t="str">
        <f>HYPERLINK("https://ca.dep.state.fl.us/mapdirect/?focus=oilandgas&amp;zoom=query&amp;querytype=oilandgas&amp;queryvalues=OG_608","OG_608_Map")</f>
        <v>OG_608_Map</v>
      </c>
      <c r="F627" s="1" t="s">
        <v>2354</v>
      </c>
      <c r="G627" s="1" t="s">
        <v>79</v>
      </c>
      <c r="H627" s="1" t="s">
        <v>6881</v>
      </c>
      <c r="I627" s="1" t="s">
        <v>7825</v>
      </c>
      <c r="J627" s="17" t="s">
        <v>82</v>
      </c>
      <c r="K627" s="17" t="s">
        <v>83</v>
      </c>
      <c r="L627" s="17"/>
      <c r="M627" s="17" t="s">
        <v>101</v>
      </c>
      <c r="N627" s="52" t="s">
        <v>6975</v>
      </c>
      <c r="O627" s="17" t="s">
        <v>86</v>
      </c>
      <c r="P627" s="17" t="s">
        <v>86</v>
      </c>
      <c r="Q627" s="81" t="s">
        <v>7819</v>
      </c>
      <c r="R627" s="11">
        <v>28.21942</v>
      </c>
      <c r="S627" s="11">
        <v>-82.605091999999999</v>
      </c>
      <c r="T627" s="11" t="s">
        <v>7820</v>
      </c>
      <c r="U627" s="11" t="s">
        <v>7821</v>
      </c>
      <c r="V627" s="17" t="s">
        <v>7826</v>
      </c>
      <c r="W627" s="17" t="s">
        <v>110</v>
      </c>
      <c r="X627" s="70">
        <v>59</v>
      </c>
      <c r="Y627" s="70">
        <v>41</v>
      </c>
      <c r="Z627" s="13">
        <v>26680</v>
      </c>
      <c r="AA627" s="13">
        <v>26706</v>
      </c>
      <c r="AB627" s="13"/>
      <c r="AC627" s="13">
        <v>26743</v>
      </c>
      <c r="AD627" s="86">
        <v>9600</v>
      </c>
      <c r="AE627" s="86">
        <v>9600</v>
      </c>
      <c r="AF627" s="70" t="s">
        <v>7827</v>
      </c>
      <c r="AG627" s="17" t="s">
        <v>7828</v>
      </c>
      <c r="AH627" s="17" t="s">
        <v>7829</v>
      </c>
      <c r="AI627" s="70" t="s">
        <v>7830</v>
      </c>
      <c r="AJ627" s="17" t="s">
        <v>94</v>
      </c>
      <c r="AK627" s="17" t="s">
        <v>95</v>
      </c>
      <c r="AL627" s="17" t="s">
        <v>825</v>
      </c>
      <c r="AM627" s="17" t="s">
        <v>825</v>
      </c>
      <c r="AN627" s="17" t="s">
        <v>7831</v>
      </c>
      <c r="AO627" s="17" t="s">
        <v>98</v>
      </c>
      <c r="AP627" s="17" t="s">
        <v>98</v>
      </c>
      <c r="AQ627" s="17" t="s">
        <v>98</v>
      </c>
      <c r="AR627" s="17" t="s">
        <v>94</v>
      </c>
      <c r="AS627" s="17" t="s">
        <v>7832</v>
      </c>
      <c r="AT627" s="17">
        <v>166</v>
      </c>
      <c r="AU627" s="30" t="s">
        <v>7833</v>
      </c>
      <c r="AV627" s="14">
        <v>11867</v>
      </c>
      <c r="AW627" s="74"/>
      <c r="AX627" s="1"/>
      <c r="AY627" s="17" t="s">
        <v>101</v>
      </c>
    </row>
    <row r="628" spans="1:51" ht="12.75" customHeight="1" x14ac:dyDescent="0.25">
      <c r="A628" s="5">
        <v>609</v>
      </c>
      <c r="B628" s="9">
        <v>609</v>
      </c>
      <c r="C628" s="9" t="s">
        <v>7834</v>
      </c>
      <c r="D628" s="57" t="str">
        <f>HYPERLINK("http://prodenv.dep.state.fl.us/DepNexus/public/electronic-documents/OG_609/facility!search","OG_609_Docs")</f>
        <v>OG_609_Docs</v>
      </c>
      <c r="E628" s="57" t="str">
        <f>HYPERLINK("https://ca.dep.state.fl.us/mapdirect/?focus=oilandgas&amp;zoom=query&amp;querytype=oilandgas&amp;queryvalues=OG_609","OG_609_Map")</f>
        <v>OG_609_Map</v>
      </c>
      <c r="F628" s="1" t="s">
        <v>7835</v>
      </c>
      <c r="G628" s="1" t="s">
        <v>79</v>
      </c>
      <c r="H628" s="1" t="s">
        <v>7836</v>
      </c>
      <c r="I628" s="1" t="s">
        <v>7837</v>
      </c>
      <c r="J628" s="17" t="s">
        <v>82</v>
      </c>
      <c r="K628" s="17" t="s">
        <v>83</v>
      </c>
      <c r="L628" s="17"/>
      <c r="M628" s="17" t="s">
        <v>101</v>
      </c>
      <c r="N628" s="52" t="s">
        <v>6529</v>
      </c>
      <c r="O628" s="17" t="s">
        <v>86</v>
      </c>
      <c r="P628" s="17" t="s">
        <v>86</v>
      </c>
      <c r="Q628" s="81" t="s">
        <v>7838</v>
      </c>
      <c r="R628" s="11">
        <v>27.074876</v>
      </c>
      <c r="S628" s="11">
        <v>-81.599692000000005</v>
      </c>
      <c r="T628" s="11" t="s">
        <v>7839</v>
      </c>
      <c r="U628" s="11" t="s">
        <v>7840</v>
      </c>
      <c r="V628" s="17" t="s">
        <v>7841</v>
      </c>
      <c r="W628" s="17" t="s">
        <v>110</v>
      </c>
      <c r="X628" s="70">
        <v>77</v>
      </c>
      <c r="Y628" s="70">
        <v>60</v>
      </c>
      <c r="Z628" s="13">
        <v>26512</v>
      </c>
      <c r="AA628" s="13">
        <v>26570</v>
      </c>
      <c r="AB628" s="13"/>
      <c r="AC628" s="13">
        <v>26642</v>
      </c>
      <c r="AD628" s="86">
        <v>13000</v>
      </c>
      <c r="AE628" s="86">
        <v>13000</v>
      </c>
      <c r="AF628" s="70" t="s">
        <v>7842</v>
      </c>
      <c r="AG628" s="17" t="s">
        <v>7843</v>
      </c>
      <c r="AH628" s="17" t="s">
        <v>7844</v>
      </c>
      <c r="AI628" s="70" t="s">
        <v>94</v>
      </c>
      <c r="AJ628" s="17" t="s">
        <v>94</v>
      </c>
      <c r="AK628" s="17" t="s">
        <v>95</v>
      </c>
      <c r="AL628" s="17" t="s">
        <v>7845</v>
      </c>
      <c r="AM628" s="17" t="s">
        <v>94</v>
      </c>
      <c r="AN628" s="17" t="s">
        <v>94</v>
      </c>
      <c r="AO628" s="17" t="s">
        <v>98</v>
      </c>
      <c r="AP628" s="17" t="s">
        <v>98</v>
      </c>
      <c r="AQ628" s="17" t="s">
        <v>98</v>
      </c>
      <c r="AR628" s="17" t="s">
        <v>94</v>
      </c>
      <c r="AS628" s="17" t="s">
        <v>7846</v>
      </c>
      <c r="AT628" s="17">
        <v>219</v>
      </c>
      <c r="AU628" s="30" t="s">
        <v>7847</v>
      </c>
      <c r="AV628" s="14">
        <v>11766</v>
      </c>
      <c r="AW628" s="74"/>
      <c r="AX628" s="1"/>
      <c r="AY628" s="17" t="s">
        <v>101</v>
      </c>
    </row>
    <row r="629" spans="1:51" ht="12.75" customHeight="1" x14ac:dyDescent="0.25">
      <c r="A629" s="5">
        <v>610</v>
      </c>
      <c r="B629" s="9">
        <v>610</v>
      </c>
      <c r="C629" s="9" t="s">
        <v>7848</v>
      </c>
      <c r="D629" s="57" t="str">
        <f>HYPERLINK("http://prodenv.dep.state.fl.us/DepNexus/public/electronic-documents/OG_610/facility!search","OG_610_Docs")</f>
        <v>OG_610_Docs</v>
      </c>
      <c r="E629" s="57" t="str">
        <f>HYPERLINK("https://ca.dep.state.fl.us/mapdirect/?focus=oilandgas&amp;zoom=query&amp;querytype=oilandgas&amp;queryvalues=OG_610","OG_610_Map")</f>
        <v>OG_610_Map</v>
      </c>
      <c r="F629" s="1" t="s">
        <v>1797</v>
      </c>
      <c r="G629" s="1" t="s">
        <v>79</v>
      </c>
      <c r="H629" s="1" t="s">
        <v>2698</v>
      </c>
      <c r="I629" s="1" t="s">
        <v>7849</v>
      </c>
      <c r="J629" s="17" t="s">
        <v>82</v>
      </c>
      <c r="K629" s="17" t="s">
        <v>83</v>
      </c>
      <c r="L629" s="17" t="s">
        <v>101</v>
      </c>
      <c r="M629" s="17" t="s">
        <v>84</v>
      </c>
      <c r="N629" s="52" t="s">
        <v>6529</v>
      </c>
      <c r="O629" s="17" t="s">
        <v>86</v>
      </c>
      <c r="P629" s="17" t="s">
        <v>86</v>
      </c>
      <c r="Q629" s="81" t="s">
        <v>7850</v>
      </c>
      <c r="R629" s="11">
        <v>30.698243000000002</v>
      </c>
      <c r="S629" s="11">
        <v>-86.922312000000005</v>
      </c>
      <c r="T629" s="11" t="s">
        <v>7851</v>
      </c>
      <c r="U629" s="11" t="s">
        <v>7852</v>
      </c>
      <c r="V629" s="17" t="s">
        <v>7853</v>
      </c>
      <c r="W629" s="17" t="s">
        <v>110</v>
      </c>
      <c r="X629" s="70">
        <v>62.88</v>
      </c>
      <c r="Y629" s="70">
        <v>42.58</v>
      </c>
      <c r="Z629" s="13">
        <v>26512</v>
      </c>
      <c r="AA629" s="13">
        <v>26541</v>
      </c>
      <c r="AB629" s="13"/>
      <c r="AC629" s="13">
        <v>26605</v>
      </c>
      <c r="AD629" s="86">
        <v>16570</v>
      </c>
      <c r="AE629" s="86">
        <v>16570</v>
      </c>
      <c r="AF629" s="70" t="s">
        <v>5849</v>
      </c>
      <c r="AG629" s="17" t="s">
        <v>7854</v>
      </c>
      <c r="AH629" s="17" t="s">
        <v>94</v>
      </c>
      <c r="AI629" s="70" t="s">
        <v>94</v>
      </c>
      <c r="AJ629" s="17" t="s">
        <v>94</v>
      </c>
      <c r="AK629" s="17" t="s">
        <v>95</v>
      </c>
      <c r="AL629" s="17" t="s">
        <v>95</v>
      </c>
      <c r="AM629" s="17" t="s">
        <v>94</v>
      </c>
      <c r="AN629" s="17" t="s">
        <v>94</v>
      </c>
      <c r="AO629" s="17" t="s">
        <v>98</v>
      </c>
      <c r="AP629" s="17" t="s">
        <v>98</v>
      </c>
      <c r="AQ629" s="17" t="s">
        <v>98</v>
      </c>
      <c r="AR629" s="17" t="s">
        <v>94</v>
      </c>
      <c r="AS629" s="17" t="s">
        <v>7855</v>
      </c>
      <c r="AT629" s="17">
        <v>256</v>
      </c>
      <c r="AU629" s="30" t="s">
        <v>7856</v>
      </c>
      <c r="AV629" s="14">
        <v>11642</v>
      </c>
      <c r="AW629" s="74"/>
      <c r="AX629" s="1"/>
      <c r="AY629" s="17" t="s">
        <v>101</v>
      </c>
    </row>
    <row r="630" spans="1:51" ht="12.75" customHeight="1" x14ac:dyDescent="0.25">
      <c r="A630" s="5">
        <v>611</v>
      </c>
      <c r="B630" s="9">
        <v>611</v>
      </c>
      <c r="C630" s="9" t="s">
        <v>7857</v>
      </c>
      <c r="D630" s="57" t="str">
        <f>HYPERLINK("http://prodenv.dep.state.fl.us/DepNexus/public/electronic-documents/OG_611/facility!search","OG_611_Docs")</f>
        <v>OG_611_Docs</v>
      </c>
      <c r="E630" s="57" t="str">
        <f>HYPERLINK("https://ca.dep.state.fl.us/mapdirect/?focus=oilandgas&amp;zoom=query&amp;querytype=oilandgas&amp;queryvalues=OG_611","OG_611_Map")</f>
        <v>OG_611_Map</v>
      </c>
      <c r="F630" s="1" t="s">
        <v>1797</v>
      </c>
      <c r="G630" s="1" t="s">
        <v>5133</v>
      </c>
      <c r="H630" s="1" t="s">
        <v>176</v>
      </c>
      <c r="I630" s="1" t="s">
        <v>7858</v>
      </c>
      <c r="J630" s="17" t="s">
        <v>268</v>
      </c>
      <c r="K630" s="17" t="s">
        <v>2105</v>
      </c>
      <c r="L630" s="17"/>
      <c r="M630" s="17"/>
      <c r="N630" s="52" t="s">
        <v>7859</v>
      </c>
      <c r="O630" s="17" t="s">
        <v>86</v>
      </c>
      <c r="P630" s="17" t="s">
        <v>86</v>
      </c>
      <c r="Q630" s="81" t="s">
        <v>7860</v>
      </c>
      <c r="R630" s="11">
        <v>30.940723999999999</v>
      </c>
      <c r="S630" s="11">
        <v>-87.136943000000002</v>
      </c>
      <c r="T630" s="11" t="s">
        <v>7861</v>
      </c>
      <c r="U630" s="11" t="s">
        <v>7862</v>
      </c>
      <c r="V630" s="17" t="s">
        <v>7863</v>
      </c>
      <c r="W630" s="17" t="s">
        <v>110</v>
      </c>
      <c r="X630" s="70">
        <v>237.1</v>
      </c>
      <c r="Y630" s="70">
        <v>220</v>
      </c>
      <c r="Z630" s="13">
        <v>26512</v>
      </c>
      <c r="AA630" s="13">
        <v>26521</v>
      </c>
      <c r="AB630" s="13"/>
      <c r="AC630" s="13">
        <v>31001</v>
      </c>
      <c r="AD630" s="86">
        <v>16005</v>
      </c>
      <c r="AE630" s="86">
        <v>16005</v>
      </c>
      <c r="AF630" s="71" t="s">
        <v>3172</v>
      </c>
      <c r="AG630" s="17" t="s">
        <v>7864</v>
      </c>
      <c r="AH630" s="17" t="s">
        <v>94</v>
      </c>
      <c r="AI630" s="70" t="s">
        <v>7865</v>
      </c>
      <c r="AJ630" s="17" t="s">
        <v>6917</v>
      </c>
      <c r="AK630" s="17" t="s">
        <v>94</v>
      </c>
      <c r="AL630" s="17" t="s">
        <v>7866</v>
      </c>
      <c r="AM630" s="17" t="s">
        <v>94</v>
      </c>
      <c r="AN630" s="17" t="s">
        <v>94</v>
      </c>
      <c r="AO630" s="17" t="s">
        <v>7867</v>
      </c>
      <c r="AP630" s="17" t="s">
        <v>7868</v>
      </c>
      <c r="AQ630" s="17" t="s">
        <v>7869</v>
      </c>
      <c r="AR630" s="17" t="s">
        <v>7870</v>
      </c>
      <c r="AS630" s="17" t="s">
        <v>7871</v>
      </c>
      <c r="AT630" s="17"/>
      <c r="AU630" s="30" t="s">
        <v>7872</v>
      </c>
      <c r="AV630" s="14">
        <v>11533</v>
      </c>
      <c r="AW630" s="74"/>
      <c r="AX630" s="1"/>
      <c r="AY630" s="17" t="s">
        <v>101</v>
      </c>
    </row>
    <row r="631" spans="1:51" ht="12.75" customHeight="1" x14ac:dyDescent="0.25">
      <c r="A631" s="5">
        <v>612</v>
      </c>
      <c r="B631" s="9">
        <v>612</v>
      </c>
      <c r="C631" s="9" t="s">
        <v>7873</v>
      </c>
      <c r="D631" s="57" t="str">
        <f>HYPERLINK("http://prodenv.dep.state.fl.us/DepNexus/public/electronic-documents/OG_612/facility!search","OG_612_Docs")</f>
        <v>OG_612_Docs</v>
      </c>
      <c r="E631" s="57" t="str">
        <f>HYPERLINK("https://ca.dep.state.fl.us/mapdirect/?focus=oilandgas&amp;zoom=query&amp;querytype=oilandgas&amp;queryvalues=OG_612","OG_612_Map")</f>
        <v>OG_612_Map</v>
      </c>
      <c r="F631" s="1" t="s">
        <v>314</v>
      </c>
      <c r="G631" s="1" t="s">
        <v>79</v>
      </c>
      <c r="H631" s="1" t="s">
        <v>4592</v>
      </c>
      <c r="I631" s="1" t="s">
        <v>7874</v>
      </c>
      <c r="J631" s="17" t="s">
        <v>82</v>
      </c>
      <c r="K631" s="17" t="s">
        <v>83</v>
      </c>
      <c r="L631" s="17"/>
      <c r="M631" s="17" t="s">
        <v>101</v>
      </c>
      <c r="N631" s="52" t="s">
        <v>4735</v>
      </c>
      <c r="O631" s="17" t="s">
        <v>86</v>
      </c>
      <c r="P631" s="17" t="s">
        <v>86</v>
      </c>
      <c r="Q631" s="81" t="s">
        <v>7875</v>
      </c>
      <c r="R631" s="11">
        <v>30.650656999999999</v>
      </c>
      <c r="S631" s="11">
        <v>-86.093537999999995</v>
      </c>
      <c r="T631" s="11" t="s">
        <v>7876</v>
      </c>
      <c r="U631" s="11" t="s">
        <v>7877</v>
      </c>
      <c r="V631" s="17" t="s">
        <v>7878</v>
      </c>
      <c r="W631" s="17" t="s">
        <v>110</v>
      </c>
      <c r="X631" s="70">
        <v>138</v>
      </c>
      <c r="Y631" s="70">
        <v>117.3</v>
      </c>
      <c r="Z631" s="13">
        <v>26526</v>
      </c>
      <c r="AA631" s="13">
        <v>26541</v>
      </c>
      <c r="AB631" s="13"/>
      <c r="AC631" s="13">
        <v>26563</v>
      </c>
      <c r="AD631" s="86">
        <v>11533</v>
      </c>
      <c r="AE631" s="86">
        <v>11533</v>
      </c>
      <c r="AF631" s="71" t="s">
        <v>275</v>
      </c>
      <c r="AG631" s="17" t="s">
        <v>7879</v>
      </c>
      <c r="AH631" s="17" t="s">
        <v>94</v>
      </c>
      <c r="AI631" s="70" t="s">
        <v>94</v>
      </c>
      <c r="AJ631" s="17" t="s">
        <v>94</v>
      </c>
      <c r="AK631" s="17" t="s">
        <v>95</v>
      </c>
      <c r="AL631" s="17" t="s">
        <v>825</v>
      </c>
      <c r="AM631" s="17" t="s">
        <v>825</v>
      </c>
      <c r="AN631" s="17" t="s">
        <v>94</v>
      </c>
      <c r="AO631" s="17" t="s">
        <v>98</v>
      </c>
      <c r="AP631" s="17" t="s">
        <v>98</v>
      </c>
      <c r="AQ631" s="17" t="s">
        <v>98</v>
      </c>
      <c r="AR631" s="17" t="s">
        <v>94</v>
      </c>
      <c r="AS631" s="17" t="s">
        <v>7880</v>
      </c>
      <c r="AT631" s="17">
        <v>215</v>
      </c>
      <c r="AU631" s="30" t="s">
        <v>7881</v>
      </c>
      <c r="AV631" s="14">
        <v>11601</v>
      </c>
      <c r="AW631" s="74"/>
      <c r="AX631" s="1"/>
      <c r="AY631" s="17" t="s">
        <v>101</v>
      </c>
    </row>
    <row r="632" spans="1:51" ht="15" customHeight="1" x14ac:dyDescent="0.25">
      <c r="A632" s="5">
        <v>613</v>
      </c>
      <c r="B632" s="9">
        <v>613</v>
      </c>
      <c r="C632" s="9" t="s">
        <v>7882</v>
      </c>
      <c r="D632" s="57" t="str">
        <f>HYPERLINK("http://prodenv.dep.state.fl.us/DepNexus/public/electronic-documents/OG_613/facility!search","OG_613_Docs")</f>
        <v>OG_613_Docs</v>
      </c>
      <c r="E632" s="57" t="str">
        <f>HYPERLINK("https://ca.dep.state.fl.us/mapdirect/?focus=oilandgas&amp;zoom=query&amp;querytype=oilandgas&amp;queryvalues=OG_613","OG_613_Map")</f>
        <v>OG_613_Map</v>
      </c>
      <c r="F632" s="1" t="s">
        <v>265</v>
      </c>
      <c r="G632" s="1" t="s">
        <v>79</v>
      </c>
      <c r="H632" s="1" t="s">
        <v>3669</v>
      </c>
      <c r="I632" s="1" t="s">
        <v>7883</v>
      </c>
      <c r="J632" s="17" t="s">
        <v>82</v>
      </c>
      <c r="K632" s="17" t="s">
        <v>83</v>
      </c>
      <c r="L632" s="17"/>
      <c r="M632" s="17"/>
      <c r="N632" s="52" t="s">
        <v>3956</v>
      </c>
      <c r="O632" s="17" t="s">
        <v>86</v>
      </c>
      <c r="P632" s="17" t="s">
        <v>86</v>
      </c>
      <c r="Q632" s="81" t="s">
        <v>7884</v>
      </c>
      <c r="R632" s="11">
        <v>26.495996999999999</v>
      </c>
      <c r="S632" s="11">
        <v>-81.495520999999997</v>
      </c>
      <c r="T632" s="11" t="s">
        <v>7885</v>
      </c>
      <c r="U632" s="11" t="s">
        <v>7886</v>
      </c>
      <c r="V632" s="17" t="s">
        <v>7887</v>
      </c>
      <c r="W632" s="17" t="s">
        <v>110</v>
      </c>
      <c r="X632" s="70"/>
      <c r="Y632" s="70">
        <v>28.7</v>
      </c>
      <c r="Z632" s="13">
        <v>26526</v>
      </c>
      <c r="AA632" s="13">
        <v>26534</v>
      </c>
      <c r="AB632" s="13"/>
      <c r="AC632" s="13">
        <v>26593</v>
      </c>
      <c r="AD632" s="86">
        <v>12628</v>
      </c>
      <c r="AE632" s="86">
        <v>12628</v>
      </c>
      <c r="AF632" s="70" t="s">
        <v>7888</v>
      </c>
      <c r="AG632" s="17" t="s">
        <v>7889</v>
      </c>
      <c r="AH632" s="17" t="s">
        <v>4816</v>
      </c>
      <c r="AI632" s="70" t="s">
        <v>94</v>
      </c>
      <c r="AJ632" s="17" t="s">
        <v>94</v>
      </c>
      <c r="AK632" s="17" t="s">
        <v>825</v>
      </c>
      <c r="AL632" s="17" t="s">
        <v>7890</v>
      </c>
      <c r="AM632" s="17" t="s">
        <v>825</v>
      </c>
      <c r="AN632" s="17" t="s">
        <v>7891</v>
      </c>
      <c r="AO632" s="17" t="s">
        <v>98</v>
      </c>
      <c r="AP632" s="17" t="s">
        <v>98</v>
      </c>
      <c r="AQ632" s="17" t="s">
        <v>98</v>
      </c>
      <c r="AR632" s="17" t="s">
        <v>94</v>
      </c>
      <c r="AS632" s="17" t="s">
        <v>7892</v>
      </c>
      <c r="AT632" s="17"/>
      <c r="AU632" s="30" t="s">
        <v>7893</v>
      </c>
      <c r="AV632" s="14">
        <v>12042</v>
      </c>
      <c r="AW632" s="74"/>
      <c r="AX632" s="1"/>
      <c r="AY632" s="17" t="s">
        <v>101</v>
      </c>
    </row>
    <row r="633" spans="1:51" ht="12.75" customHeight="1" x14ac:dyDescent="0.25">
      <c r="A633" s="5">
        <v>614</v>
      </c>
      <c r="B633" s="9">
        <v>614</v>
      </c>
      <c r="C633" s="9" t="s">
        <v>7894</v>
      </c>
      <c r="D633" s="57" t="str">
        <f>HYPERLINK("http://prodenv.dep.state.fl.us/DepNexus/public/electronic-documents/OG_614/facility!search","OG_614_Docs")</f>
        <v>OG_614_Docs</v>
      </c>
      <c r="E633" s="57" t="str">
        <f>HYPERLINK("https://ca.dep.state.fl.us/mapdirect/?focus=oilandgas&amp;zoom=query&amp;querytype=oilandgas&amp;queryvalues=OG_614","OG_614_Map")</f>
        <v>OG_614_Map</v>
      </c>
      <c r="F633" s="1" t="s">
        <v>1797</v>
      </c>
      <c r="G633" s="1" t="s">
        <v>5133</v>
      </c>
      <c r="H633" s="1" t="s">
        <v>5605</v>
      </c>
      <c r="I633" s="1" t="s">
        <v>7895</v>
      </c>
      <c r="J633" s="17" t="s">
        <v>268</v>
      </c>
      <c r="K633" s="17" t="s">
        <v>2105</v>
      </c>
      <c r="L633" s="17"/>
      <c r="M633" s="17"/>
      <c r="N633" s="52" t="s">
        <v>7896</v>
      </c>
      <c r="O633" s="17" t="s">
        <v>86</v>
      </c>
      <c r="P633" s="17" t="s">
        <v>86</v>
      </c>
      <c r="Q633" s="81" t="s">
        <v>7897</v>
      </c>
      <c r="R633" s="11">
        <v>30.971450999999998</v>
      </c>
      <c r="S633" s="11">
        <v>-87.200149999999994</v>
      </c>
      <c r="T633" s="11" t="s">
        <v>7898</v>
      </c>
      <c r="U633" s="11" t="s">
        <v>7899</v>
      </c>
      <c r="V633" s="17" t="s">
        <v>5582</v>
      </c>
      <c r="W633" s="17" t="s">
        <v>110</v>
      </c>
      <c r="X633" s="70">
        <v>72.430000000000007</v>
      </c>
      <c r="Y633" s="70">
        <v>50.18</v>
      </c>
      <c r="Z633" s="13">
        <v>26526</v>
      </c>
      <c r="AA633" s="13">
        <v>26535</v>
      </c>
      <c r="AB633" s="13"/>
      <c r="AC633" s="13">
        <v>26638</v>
      </c>
      <c r="AD633" s="86">
        <v>15744</v>
      </c>
      <c r="AE633" s="86">
        <v>15744</v>
      </c>
      <c r="AF633" s="71" t="s">
        <v>5811</v>
      </c>
      <c r="AG633" s="17" t="s">
        <v>7900</v>
      </c>
      <c r="AH633" s="17" t="s">
        <v>94</v>
      </c>
      <c r="AI633" s="70" t="s">
        <v>7901</v>
      </c>
      <c r="AJ633" s="17" t="s">
        <v>7902</v>
      </c>
      <c r="AK633" s="17" t="s">
        <v>94</v>
      </c>
      <c r="AL633" s="17" t="s">
        <v>7903</v>
      </c>
      <c r="AM633" s="17" t="s">
        <v>95</v>
      </c>
      <c r="AN633" s="17" t="s">
        <v>94</v>
      </c>
      <c r="AO633" s="17" t="s">
        <v>7904</v>
      </c>
      <c r="AP633" s="17" t="s">
        <v>7905</v>
      </c>
      <c r="AQ633" s="17" t="s">
        <v>7906</v>
      </c>
      <c r="AR633" s="17" t="s">
        <v>7907</v>
      </c>
      <c r="AS633" s="17" t="s">
        <v>7908</v>
      </c>
      <c r="AT633" s="17"/>
      <c r="AU633" s="30" t="s">
        <v>7909</v>
      </c>
      <c r="AV633" s="14">
        <v>11610</v>
      </c>
      <c r="AW633" s="74"/>
      <c r="AX633" s="1"/>
      <c r="AY633" s="17" t="s">
        <v>101</v>
      </c>
    </row>
    <row r="634" spans="1:51" ht="12.75" customHeight="1" x14ac:dyDescent="0.25">
      <c r="A634" s="5">
        <v>615</v>
      </c>
      <c r="B634" s="9">
        <v>615</v>
      </c>
      <c r="C634" s="9" t="s">
        <v>7910</v>
      </c>
      <c r="D634" s="57" t="str">
        <f>HYPERLINK("http://prodenv.dep.state.fl.us/DepNexus/public/electronic-documents/OG_615/facility!search","OG_615_Docs")</f>
        <v>OG_615_Docs</v>
      </c>
      <c r="E634" s="57" t="str">
        <f>HYPERLINK("https://ca.dep.state.fl.us/mapdirect/?focus=oilandgas&amp;zoom=query&amp;querytype=oilandgas&amp;queryvalues=OG_615","OG_615_Map")</f>
        <v>OG_615_Map</v>
      </c>
      <c r="F634" s="1" t="s">
        <v>1797</v>
      </c>
      <c r="G634" s="1" t="s">
        <v>79</v>
      </c>
      <c r="H634" s="1" t="s">
        <v>7911</v>
      </c>
      <c r="I634" s="1" t="s">
        <v>7912</v>
      </c>
      <c r="J634" s="17" t="s">
        <v>82</v>
      </c>
      <c r="K634" s="17" t="s">
        <v>83</v>
      </c>
      <c r="L634" s="17"/>
      <c r="M634" s="17"/>
      <c r="N634" s="52" t="s">
        <v>7568</v>
      </c>
      <c r="O634" s="17" t="s">
        <v>86</v>
      </c>
      <c r="P634" s="17" t="s">
        <v>86</v>
      </c>
      <c r="Q634" s="81" t="s">
        <v>7913</v>
      </c>
      <c r="R634" s="11">
        <v>30.757069999999999</v>
      </c>
      <c r="S634" s="11">
        <v>-86.920428999999999</v>
      </c>
      <c r="T634" s="11" t="s">
        <v>7914</v>
      </c>
      <c r="U634" s="11" t="s">
        <v>7915</v>
      </c>
      <c r="V634" s="17" t="s">
        <v>7916</v>
      </c>
      <c r="W634" s="17" t="s">
        <v>110</v>
      </c>
      <c r="X634" s="70">
        <v>187.72</v>
      </c>
      <c r="Y634" s="70">
        <v>163.36000000000001</v>
      </c>
      <c r="Z634" s="13">
        <v>26526</v>
      </c>
      <c r="AA634" s="13">
        <v>26539</v>
      </c>
      <c r="AB634" s="13"/>
      <c r="AC634" s="13">
        <v>26590</v>
      </c>
      <c r="AD634" s="86">
        <v>16212</v>
      </c>
      <c r="AE634" s="86">
        <v>16212</v>
      </c>
      <c r="AF634" s="70" t="s">
        <v>7917</v>
      </c>
      <c r="AG634" s="17" t="s">
        <v>7918</v>
      </c>
      <c r="AH634" s="17" t="s">
        <v>94</v>
      </c>
      <c r="AI634" s="70" t="s">
        <v>94</v>
      </c>
      <c r="AJ634" s="17" t="s">
        <v>94</v>
      </c>
      <c r="AK634" s="17" t="s">
        <v>825</v>
      </c>
      <c r="AL634" s="17" t="s">
        <v>7919</v>
      </c>
      <c r="AM634" s="17" t="s">
        <v>95</v>
      </c>
      <c r="AN634" s="17" t="s">
        <v>94</v>
      </c>
      <c r="AO634" s="17" t="s">
        <v>98</v>
      </c>
      <c r="AP634" s="17" t="s">
        <v>98</v>
      </c>
      <c r="AQ634" s="17" t="s">
        <v>98</v>
      </c>
      <c r="AR634" s="17" t="s">
        <v>94</v>
      </c>
      <c r="AS634" s="17" t="s">
        <v>7920</v>
      </c>
      <c r="AT634" s="17"/>
      <c r="AU634" s="30" t="s">
        <v>7921</v>
      </c>
      <c r="AV634" s="14">
        <v>11609</v>
      </c>
      <c r="AW634" s="74"/>
      <c r="AX634" s="1"/>
      <c r="AY634" s="17" t="s">
        <v>101</v>
      </c>
    </row>
    <row r="635" spans="1:51" ht="15" customHeight="1" x14ac:dyDescent="0.25">
      <c r="A635" s="5">
        <v>616</v>
      </c>
      <c r="B635" s="9">
        <v>616</v>
      </c>
      <c r="C635" s="9" t="s">
        <v>7922</v>
      </c>
      <c r="D635" s="57" t="str">
        <f>HYPERLINK("http://prodenv.dep.state.fl.us/DepNexus/public/electronic-documents/OG_616/facility!search","OG_616_Docs")</f>
        <v>OG_616_Docs</v>
      </c>
      <c r="E635" s="57" t="str">
        <f>HYPERLINK("https://ca.dep.state.fl.us/mapdirect/?focus=oilandgas&amp;zoom=query&amp;querytype=oilandgas&amp;queryvalues=OG_616","OG_616_Map")</f>
        <v>OG_616_Map</v>
      </c>
      <c r="F635" s="1" t="s">
        <v>1682</v>
      </c>
      <c r="G635" s="1" t="s">
        <v>79</v>
      </c>
      <c r="H635" s="1" t="s">
        <v>176</v>
      </c>
      <c r="I635" s="1" t="s">
        <v>7923</v>
      </c>
      <c r="J635" s="17" t="s">
        <v>82</v>
      </c>
      <c r="K635" s="17" t="s">
        <v>83</v>
      </c>
      <c r="L635" s="17"/>
      <c r="M635" s="17"/>
      <c r="N635" s="52" t="s">
        <v>6529</v>
      </c>
      <c r="O635" s="17" t="s">
        <v>86</v>
      </c>
      <c r="P635" s="17" t="s">
        <v>86</v>
      </c>
      <c r="Q635" s="81" t="s">
        <v>7924</v>
      </c>
      <c r="R635" s="11">
        <v>30.982291</v>
      </c>
      <c r="S635" s="11">
        <v>-87.338930000000005</v>
      </c>
      <c r="T635" s="11" t="s">
        <v>7925</v>
      </c>
      <c r="U635" s="11" t="s">
        <v>7926</v>
      </c>
      <c r="V635" s="17" t="s">
        <v>7927</v>
      </c>
      <c r="W635" s="17" t="s">
        <v>110</v>
      </c>
      <c r="X635" s="70">
        <v>266.2</v>
      </c>
      <c r="Y635" s="70">
        <v>240.4</v>
      </c>
      <c r="Z635" s="13">
        <v>26540</v>
      </c>
      <c r="AA635" s="13">
        <v>26542</v>
      </c>
      <c r="AB635" s="13"/>
      <c r="AC635" s="13">
        <v>26635</v>
      </c>
      <c r="AD635" s="86">
        <v>16480</v>
      </c>
      <c r="AE635" s="86">
        <v>16480</v>
      </c>
      <c r="AF635" s="71" t="s">
        <v>3172</v>
      </c>
      <c r="AG635" s="17" t="s">
        <v>7928</v>
      </c>
      <c r="AH635" s="17" t="s">
        <v>94</v>
      </c>
      <c r="AI635" s="70" t="s">
        <v>7929</v>
      </c>
      <c r="AJ635" s="17" t="s">
        <v>94</v>
      </c>
      <c r="AK635" s="17" t="s">
        <v>95</v>
      </c>
      <c r="AL635" s="17" t="s">
        <v>7930</v>
      </c>
      <c r="AM635" s="17" t="s">
        <v>825</v>
      </c>
      <c r="AN635" s="17" t="s">
        <v>94</v>
      </c>
      <c r="AO635" s="17" t="s">
        <v>7931</v>
      </c>
      <c r="AP635" s="17" t="s">
        <v>7932</v>
      </c>
      <c r="AQ635" s="17" t="s">
        <v>7933</v>
      </c>
      <c r="AR635" s="17" t="s">
        <v>7934</v>
      </c>
      <c r="AS635" s="17" t="s">
        <v>7935</v>
      </c>
      <c r="AT635" s="17"/>
      <c r="AU635" s="30" t="s">
        <v>7936</v>
      </c>
      <c r="AV635" s="14">
        <v>11611</v>
      </c>
      <c r="AW635" s="74"/>
      <c r="AX635" s="1"/>
      <c r="AY635" s="17" t="s">
        <v>101</v>
      </c>
    </row>
    <row r="636" spans="1:51" ht="12.75" customHeight="1" x14ac:dyDescent="0.25">
      <c r="A636" s="5">
        <v>617</v>
      </c>
      <c r="B636" s="9">
        <v>617</v>
      </c>
      <c r="C636" s="9" t="s">
        <v>7937</v>
      </c>
      <c r="D636" s="57" t="str">
        <f>HYPERLINK("http://prodenv.dep.state.fl.us/DepNexus/public/electronic-documents/OG_617/facility!search","OG_617_Docs")</f>
        <v>OG_617_Docs</v>
      </c>
      <c r="E636" s="57" t="str">
        <f>HYPERLINK("https://ca.dep.state.fl.us/mapdirect/?focus=oilandgas&amp;zoom=query&amp;querytype=oilandgas&amp;queryvalues=OG_617","OG_617_Map")</f>
        <v>OG_617_Map</v>
      </c>
      <c r="F636" s="1" t="s">
        <v>265</v>
      </c>
      <c r="G636" s="1" t="s">
        <v>79</v>
      </c>
      <c r="H636" s="1" t="s">
        <v>176</v>
      </c>
      <c r="I636" s="1" t="s">
        <v>7938</v>
      </c>
      <c r="J636" s="17" t="s">
        <v>82</v>
      </c>
      <c r="K636" s="17" t="s">
        <v>83</v>
      </c>
      <c r="L636" s="17"/>
      <c r="M636" s="17"/>
      <c r="N636" s="52" t="s">
        <v>86</v>
      </c>
      <c r="O636" s="17" t="s">
        <v>270</v>
      </c>
      <c r="P636" s="17" t="s">
        <v>86</v>
      </c>
      <c r="Q636" s="81" t="s">
        <v>7939</v>
      </c>
      <c r="R636" s="11">
        <v>26.408093999999998</v>
      </c>
      <c r="S636" s="11">
        <v>-81.372735000000006</v>
      </c>
      <c r="T636" s="11" t="s">
        <v>7940</v>
      </c>
      <c r="U636" s="11" t="s">
        <v>7941</v>
      </c>
      <c r="V636" s="17" t="s">
        <v>7942</v>
      </c>
      <c r="W636" s="17" t="s">
        <v>110</v>
      </c>
      <c r="X636" s="70">
        <v>43.6</v>
      </c>
      <c r="Y636" s="70">
        <v>27</v>
      </c>
      <c r="Z636" s="13">
        <v>26540</v>
      </c>
      <c r="AA636" s="13">
        <v>26573</v>
      </c>
      <c r="AB636" s="13"/>
      <c r="AC636" s="13">
        <v>26608</v>
      </c>
      <c r="AD636" s="86">
        <v>11936</v>
      </c>
      <c r="AE636" s="86">
        <v>11936</v>
      </c>
      <c r="AF636" s="70" t="s">
        <v>5267</v>
      </c>
      <c r="AG636" s="17" t="s">
        <v>7943</v>
      </c>
      <c r="AH636" s="17" t="s">
        <v>7944</v>
      </c>
      <c r="AI636" s="70" t="s">
        <v>94</v>
      </c>
      <c r="AJ636" s="17" t="s">
        <v>94</v>
      </c>
      <c r="AK636" s="17" t="s">
        <v>95</v>
      </c>
      <c r="AL636" s="17" t="s">
        <v>94</v>
      </c>
      <c r="AM636" s="17" t="s">
        <v>94</v>
      </c>
      <c r="AN636" s="17" t="s">
        <v>94</v>
      </c>
      <c r="AO636" s="17" t="s">
        <v>98</v>
      </c>
      <c r="AP636" s="17" t="s">
        <v>98</v>
      </c>
      <c r="AQ636" s="17" t="s">
        <v>98</v>
      </c>
      <c r="AR636" s="17" t="s">
        <v>94</v>
      </c>
      <c r="AS636" s="17" t="s">
        <v>7945</v>
      </c>
      <c r="AT636" s="17"/>
      <c r="AU636" s="30" t="s">
        <v>7946</v>
      </c>
      <c r="AV636" s="14">
        <v>11763</v>
      </c>
      <c r="AW636" s="74"/>
      <c r="AX636" s="1"/>
      <c r="AY636" s="17" t="s">
        <v>101</v>
      </c>
    </row>
    <row r="637" spans="1:51" ht="12.75" customHeight="1" x14ac:dyDescent="0.25">
      <c r="A637" s="5">
        <v>618</v>
      </c>
      <c r="B637" s="9">
        <v>618</v>
      </c>
      <c r="C637" s="9" t="s">
        <v>7947</v>
      </c>
      <c r="D637" s="57" t="str">
        <f>HYPERLINK("http://prodenv.dep.state.fl.us/DepNexus/public/electronic-documents/OG_618/facility!search","OG_618_Docs")</f>
        <v>OG_618_Docs</v>
      </c>
      <c r="E637" s="57" t="str">
        <f>HYPERLINK("https://ca.dep.state.fl.us/mapdirect/?focus=oilandgas&amp;zoom=query&amp;querytype=oilandgas&amp;queryvalues=OG_618","OG_618_Map")</f>
        <v>OG_618_Map</v>
      </c>
      <c r="F637" s="1" t="s">
        <v>1797</v>
      </c>
      <c r="G637" s="1" t="s">
        <v>5133</v>
      </c>
      <c r="H637" s="1" t="s">
        <v>5605</v>
      </c>
      <c r="I637" s="1" t="s">
        <v>7948</v>
      </c>
      <c r="J637" s="17" t="s">
        <v>268</v>
      </c>
      <c r="K637" s="17" t="s">
        <v>412</v>
      </c>
      <c r="L637" s="17"/>
      <c r="M637" s="17"/>
      <c r="N637" s="52" t="s">
        <v>6046</v>
      </c>
      <c r="O637" s="17" t="s">
        <v>86</v>
      </c>
      <c r="P637" s="17" t="s">
        <v>86</v>
      </c>
      <c r="Q637" s="81" t="s">
        <v>7949</v>
      </c>
      <c r="R637" s="11">
        <v>30.973676000000001</v>
      </c>
      <c r="S637" s="11">
        <v>-87.192092000000002</v>
      </c>
      <c r="T637" s="11" t="s">
        <v>7950</v>
      </c>
      <c r="U637" s="11" t="s">
        <v>7951</v>
      </c>
      <c r="V637" s="17" t="s">
        <v>7952</v>
      </c>
      <c r="W637" s="17" t="s">
        <v>110</v>
      </c>
      <c r="X637" s="70">
        <v>83</v>
      </c>
      <c r="Y637" s="70">
        <v>52</v>
      </c>
      <c r="Z637" s="13">
        <v>26548</v>
      </c>
      <c r="AA637" s="13">
        <v>26605</v>
      </c>
      <c r="AB637" s="13">
        <v>26661</v>
      </c>
      <c r="AC637" s="13">
        <v>40029</v>
      </c>
      <c r="AD637" s="86">
        <v>15727</v>
      </c>
      <c r="AE637" s="86">
        <v>15727</v>
      </c>
      <c r="AF637" s="70" t="s">
        <v>7953</v>
      </c>
      <c r="AG637" s="17" t="s">
        <v>7954</v>
      </c>
      <c r="AH637" s="17" t="s">
        <v>94</v>
      </c>
      <c r="AI637" s="70" t="s">
        <v>7955</v>
      </c>
      <c r="AJ637" s="17" t="s">
        <v>7956</v>
      </c>
      <c r="AK637" s="17" t="s">
        <v>95</v>
      </c>
      <c r="AL637" s="17" t="s">
        <v>7957</v>
      </c>
      <c r="AM637" s="17" t="s">
        <v>95</v>
      </c>
      <c r="AN637" s="17" t="s">
        <v>86</v>
      </c>
      <c r="AO637" s="17" t="s">
        <v>7958</v>
      </c>
      <c r="AP637" s="17" t="s">
        <v>7959</v>
      </c>
      <c r="AQ637" s="17" t="s">
        <v>3512</v>
      </c>
      <c r="AR637" s="17" t="s">
        <v>7960</v>
      </c>
      <c r="AS637" s="17" t="s">
        <v>7961</v>
      </c>
      <c r="AT637" s="17">
        <v>248</v>
      </c>
      <c r="AU637" s="30" t="s">
        <v>7962</v>
      </c>
      <c r="AV637" s="14">
        <v>11721</v>
      </c>
      <c r="AW637" s="74"/>
      <c r="AX637" s="1"/>
      <c r="AY637" s="17" t="s">
        <v>101</v>
      </c>
    </row>
    <row r="638" spans="1:51" ht="12.75" customHeight="1" x14ac:dyDescent="0.25">
      <c r="A638" s="5">
        <v>619</v>
      </c>
      <c r="B638" s="9">
        <v>619</v>
      </c>
      <c r="C638" s="9" t="s">
        <v>7963</v>
      </c>
      <c r="D638" s="57" t="str">
        <f>HYPERLINK("http://prodenv.dep.state.fl.us/DepNexus/public/electronic-documents/OG_619/facility!search","OG_619_Docs")</f>
        <v>OG_619_Docs</v>
      </c>
      <c r="E638" s="57" t="str">
        <f>HYPERLINK("https://ca.dep.state.fl.us/mapdirect/?focus=oilandgas&amp;zoom=query&amp;querytype=oilandgas&amp;queryvalues=OG_619","OG_619_Map")</f>
        <v>OG_619_Map</v>
      </c>
      <c r="F638" s="1" t="s">
        <v>265</v>
      </c>
      <c r="G638" s="1" t="s">
        <v>79</v>
      </c>
      <c r="H638" s="1" t="s">
        <v>7255</v>
      </c>
      <c r="I638" s="1" t="s">
        <v>7964</v>
      </c>
      <c r="J638" s="17" t="s">
        <v>4294</v>
      </c>
      <c r="K638" s="17" t="s">
        <v>7965</v>
      </c>
      <c r="L638" s="17"/>
      <c r="M638" s="17"/>
      <c r="N638" s="52" t="s">
        <v>86</v>
      </c>
      <c r="O638" s="17" t="s">
        <v>270</v>
      </c>
      <c r="P638" s="17" t="s">
        <v>3395</v>
      </c>
      <c r="Q638" s="81" t="s">
        <v>7966</v>
      </c>
      <c r="R638" s="11">
        <v>26.220842000000001</v>
      </c>
      <c r="S638" s="11">
        <v>-81.232479999999995</v>
      </c>
      <c r="T638" s="11" t="s">
        <v>7967</v>
      </c>
      <c r="U638" s="11" t="s">
        <v>7968</v>
      </c>
      <c r="V638" s="17" t="s">
        <v>5953</v>
      </c>
      <c r="W638" s="17" t="s">
        <v>110</v>
      </c>
      <c r="X638" s="70"/>
      <c r="Y638" s="70">
        <v>15</v>
      </c>
      <c r="Z638" s="13">
        <v>26548</v>
      </c>
      <c r="AA638" s="13">
        <v>26633</v>
      </c>
      <c r="AB638" s="13"/>
      <c r="AC638" s="13">
        <v>26680</v>
      </c>
      <c r="AD638" s="86">
        <v>8476</v>
      </c>
      <c r="AE638" s="86">
        <v>8476</v>
      </c>
      <c r="AF638" s="70" t="s">
        <v>7969</v>
      </c>
      <c r="AG638" s="17" t="s">
        <v>7970</v>
      </c>
      <c r="AH638" s="17" t="s">
        <v>7307</v>
      </c>
      <c r="AI638" s="70" t="s">
        <v>94</v>
      </c>
      <c r="AJ638" s="17" t="s">
        <v>94</v>
      </c>
      <c r="AK638" s="17" t="s">
        <v>94</v>
      </c>
      <c r="AL638" s="17" t="s">
        <v>94</v>
      </c>
      <c r="AM638" s="17" t="s">
        <v>94</v>
      </c>
      <c r="AN638" s="17" t="s">
        <v>86</v>
      </c>
      <c r="AO638" s="17" t="s">
        <v>94</v>
      </c>
      <c r="AP638" s="17" t="s">
        <v>94</v>
      </c>
      <c r="AQ638" s="17" t="s">
        <v>94</v>
      </c>
      <c r="AR638" s="17" t="s">
        <v>94</v>
      </c>
      <c r="AS638" s="17" t="s">
        <v>7971</v>
      </c>
      <c r="AT638" s="17">
        <v>257</v>
      </c>
      <c r="AU638" s="30" t="s">
        <v>7972</v>
      </c>
      <c r="AV638" s="14">
        <v>11611</v>
      </c>
      <c r="AW638" s="74"/>
      <c r="AX638" s="1" t="s">
        <v>7973</v>
      </c>
      <c r="AY638" s="17" t="s">
        <v>101</v>
      </c>
    </row>
    <row r="639" spans="1:51" ht="15" customHeight="1" x14ac:dyDescent="0.25">
      <c r="A639" s="5">
        <v>619.1</v>
      </c>
      <c r="B639" s="9" t="s">
        <v>7974</v>
      </c>
      <c r="C639" s="9" t="s">
        <v>7963</v>
      </c>
      <c r="D639" s="57" t="str">
        <f>HYPERLINK("http://prodenv.dep.state.fl.us/DepNexus/public/electronic-documents/OG_619/facility!search","OG_619_Docs")</f>
        <v>OG_619_Docs</v>
      </c>
      <c r="E639" s="57" t="str">
        <f>HYPERLINK("https://ca.dep.state.fl.us/mapdirect/?focus=oilandgas&amp;zoom=query&amp;querytype=oilandgas&amp;queryvalues=OG_619","OG_619_Map")</f>
        <v>OG_619_Map</v>
      </c>
      <c r="F639" s="1" t="s">
        <v>265</v>
      </c>
      <c r="G639" s="1" t="s">
        <v>79</v>
      </c>
      <c r="H639" s="1" t="s">
        <v>7975</v>
      </c>
      <c r="I639" s="1" t="s">
        <v>7976</v>
      </c>
      <c r="J639" s="17" t="s">
        <v>82</v>
      </c>
      <c r="K639" s="17" t="s">
        <v>83</v>
      </c>
      <c r="L639" s="17" t="s">
        <v>101</v>
      </c>
      <c r="M639" s="17"/>
      <c r="N639" s="52" t="s">
        <v>7977</v>
      </c>
      <c r="O639" s="17" t="s">
        <v>270</v>
      </c>
      <c r="P639" s="17" t="s">
        <v>3395</v>
      </c>
      <c r="Q639" s="81" t="s">
        <v>7966</v>
      </c>
      <c r="R639" s="11">
        <v>26.220842000000001</v>
      </c>
      <c r="S639" s="11">
        <v>-81.232479999999995</v>
      </c>
      <c r="T639" s="11" t="s">
        <v>7967</v>
      </c>
      <c r="U639" s="11" t="s">
        <v>7968</v>
      </c>
      <c r="V639" s="17" t="s">
        <v>7978</v>
      </c>
      <c r="W639" s="17" t="s">
        <v>110</v>
      </c>
      <c r="X639" s="70">
        <v>33</v>
      </c>
      <c r="Y639" s="70">
        <v>15</v>
      </c>
      <c r="Z639" s="13">
        <v>26680</v>
      </c>
      <c r="AA639" s="13">
        <v>26688</v>
      </c>
      <c r="AB639" s="13"/>
      <c r="AC639" s="13">
        <v>26737</v>
      </c>
      <c r="AD639" s="86">
        <v>11795</v>
      </c>
      <c r="AE639" s="86">
        <v>11795</v>
      </c>
      <c r="AF639" s="70" t="s">
        <v>7979</v>
      </c>
      <c r="AG639" s="17" t="s">
        <v>7980</v>
      </c>
      <c r="AH639" s="17" t="s">
        <v>7928</v>
      </c>
      <c r="AI639" s="70" t="s">
        <v>94</v>
      </c>
      <c r="AJ639" s="17" t="s">
        <v>94</v>
      </c>
      <c r="AK639" s="17" t="s">
        <v>95</v>
      </c>
      <c r="AL639" s="17" t="s">
        <v>7981</v>
      </c>
      <c r="AM639" s="17"/>
      <c r="AN639" s="17" t="s">
        <v>7982</v>
      </c>
      <c r="AO639" s="17" t="s">
        <v>7983</v>
      </c>
      <c r="AP639" s="17" t="s">
        <v>86</v>
      </c>
      <c r="AQ639" s="17" t="s">
        <v>86</v>
      </c>
      <c r="AR639" s="17" t="s">
        <v>86</v>
      </c>
      <c r="AS639" s="17" t="s">
        <v>7984</v>
      </c>
      <c r="AT639" s="17"/>
      <c r="AU639" s="30" t="s">
        <v>7985</v>
      </c>
      <c r="AV639" s="14">
        <v>11864</v>
      </c>
      <c r="AW639" s="74"/>
      <c r="AX639" s="1"/>
      <c r="AY639" s="17" t="s">
        <v>101</v>
      </c>
    </row>
    <row r="640" spans="1:51" ht="12.75" customHeight="1" x14ac:dyDescent="0.25">
      <c r="A640" s="5">
        <v>620</v>
      </c>
      <c r="B640" s="9">
        <v>620</v>
      </c>
      <c r="C640" s="9" t="s">
        <v>7986</v>
      </c>
      <c r="D640" s="57" t="str">
        <f>HYPERLINK("http://prodenv.dep.state.fl.us/DepNexus/public/electronic-documents/OG_620/facility!search","OG_620_Docs")</f>
        <v>OG_620_Docs</v>
      </c>
      <c r="E640" s="57" t="str">
        <f>HYPERLINK("https://ca.dep.state.fl.us/mapdirect/?focus=oilandgas&amp;zoom=query&amp;querytype=oilandgas&amp;queryvalues=OG_620","OG_620_Map")</f>
        <v>OG_620_Map</v>
      </c>
      <c r="F640" s="1" t="s">
        <v>1752</v>
      </c>
      <c r="G640" s="1" t="s">
        <v>79</v>
      </c>
      <c r="H640" s="1" t="s">
        <v>3669</v>
      </c>
      <c r="I640" s="1" t="s">
        <v>7987</v>
      </c>
      <c r="J640" s="17" t="s">
        <v>82</v>
      </c>
      <c r="K640" s="17" t="s">
        <v>83</v>
      </c>
      <c r="L640" s="17"/>
      <c r="M640" s="17" t="s">
        <v>84</v>
      </c>
      <c r="N640" s="52" t="s">
        <v>3956</v>
      </c>
      <c r="O640" s="17" t="s">
        <v>270</v>
      </c>
      <c r="P640" s="17" t="s">
        <v>86</v>
      </c>
      <c r="Q640" s="81" t="s">
        <v>7988</v>
      </c>
      <c r="R640" s="11">
        <v>26.439634999999999</v>
      </c>
      <c r="S640" s="11">
        <v>-81.171386999999996</v>
      </c>
      <c r="T640" s="11" t="s">
        <v>7989</v>
      </c>
      <c r="U640" s="11" t="s">
        <v>7990</v>
      </c>
      <c r="V640" s="17" t="s">
        <v>7991</v>
      </c>
      <c r="W640" s="17" t="s">
        <v>110</v>
      </c>
      <c r="X640" s="70">
        <v>45.3</v>
      </c>
      <c r="Y640" s="70">
        <v>26.17</v>
      </c>
      <c r="Z640" s="13">
        <v>26548</v>
      </c>
      <c r="AA640" s="13">
        <v>26617</v>
      </c>
      <c r="AB640" s="13"/>
      <c r="AC640" s="13">
        <v>26763</v>
      </c>
      <c r="AD640" s="86">
        <v>11690</v>
      </c>
      <c r="AE640" s="86">
        <v>11690</v>
      </c>
      <c r="AF640" s="70" t="s">
        <v>5386</v>
      </c>
      <c r="AG640" s="17" t="s">
        <v>7992</v>
      </c>
      <c r="AH640" s="17" t="s">
        <v>5036</v>
      </c>
      <c r="AI640" s="70" t="s">
        <v>94</v>
      </c>
      <c r="AJ640" s="17" t="s">
        <v>94</v>
      </c>
      <c r="AK640" s="17" t="s">
        <v>95</v>
      </c>
      <c r="AL640" s="17" t="s">
        <v>7993</v>
      </c>
      <c r="AM640" s="17" t="s">
        <v>94</v>
      </c>
      <c r="AN640" s="17" t="s">
        <v>94</v>
      </c>
      <c r="AO640" s="17" t="s">
        <v>98</v>
      </c>
      <c r="AP640" s="17" t="s">
        <v>98</v>
      </c>
      <c r="AQ640" s="17" t="s">
        <v>98</v>
      </c>
      <c r="AR640" s="17" t="s">
        <v>94</v>
      </c>
      <c r="AS640" s="17" t="s">
        <v>7994</v>
      </c>
      <c r="AT640" s="17">
        <v>182</v>
      </c>
      <c r="AU640" s="30" t="s">
        <v>7995</v>
      </c>
      <c r="AV640" s="14">
        <v>11767</v>
      </c>
      <c r="AW640" s="74"/>
      <c r="AX640" s="1"/>
      <c r="AY640" s="17" t="s">
        <v>101</v>
      </c>
    </row>
    <row r="641" spans="1:51" ht="12.75" customHeight="1" x14ac:dyDescent="0.25">
      <c r="A641" s="5">
        <v>621</v>
      </c>
      <c r="B641" s="9">
        <v>621</v>
      </c>
      <c r="C641" s="9" t="s">
        <v>7996</v>
      </c>
      <c r="D641" s="57" t="str">
        <f>HYPERLINK("http://prodenv.dep.state.fl.us/DepNexus/public/electronic-documents/OG_621/facility!search","OG_621_Docs")</f>
        <v>OG_621_Docs</v>
      </c>
      <c r="E641" s="57" t="str">
        <f>HYPERLINK("https://ca.dep.state.fl.us/mapdirect/?focus=oilandgas&amp;zoom=query&amp;querytype=oilandgas&amp;queryvalues=OG_621","OG_621_Map")</f>
        <v>OG_621_Map</v>
      </c>
      <c r="F641" s="1" t="s">
        <v>1797</v>
      </c>
      <c r="G641" s="1" t="s">
        <v>6648</v>
      </c>
      <c r="H641" s="1" t="s">
        <v>176</v>
      </c>
      <c r="I641" s="1" t="s">
        <v>7997</v>
      </c>
      <c r="J641" s="17" t="s">
        <v>207</v>
      </c>
      <c r="K641" s="17" t="s">
        <v>208</v>
      </c>
      <c r="L641" s="17"/>
      <c r="M641" s="17" t="s">
        <v>207</v>
      </c>
      <c r="N641" s="52" t="s">
        <v>86</v>
      </c>
      <c r="O641" s="17" t="s">
        <v>86</v>
      </c>
      <c r="P641" s="17" t="s">
        <v>86</v>
      </c>
      <c r="Q641" s="81" t="s">
        <v>7998</v>
      </c>
      <c r="R641" s="11">
        <v>30.866503000000002</v>
      </c>
      <c r="S641" s="11">
        <v>-87.113517999999999</v>
      </c>
      <c r="T641" s="11" t="s">
        <v>7999</v>
      </c>
      <c r="U641" s="11" t="s">
        <v>8000</v>
      </c>
      <c r="V641" s="17" t="s">
        <v>8001</v>
      </c>
      <c r="W641" s="17" t="s">
        <v>110</v>
      </c>
      <c r="X641" s="70"/>
      <c r="Y641" s="70"/>
      <c r="Z641" s="13">
        <v>26576</v>
      </c>
      <c r="AA641" s="13"/>
      <c r="AB641" s="13"/>
      <c r="AC641" s="13"/>
      <c r="AD641" s="86"/>
      <c r="AE641" s="70"/>
      <c r="AF641" s="70" t="s">
        <v>207</v>
      </c>
      <c r="AG641" s="14" t="s">
        <v>207</v>
      </c>
      <c r="AH641" s="14" t="s">
        <v>207</v>
      </c>
      <c r="AI641" s="70" t="s">
        <v>207</v>
      </c>
      <c r="AJ641" s="14" t="s">
        <v>207</v>
      </c>
      <c r="AK641" s="14" t="s">
        <v>207</v>
      </c>
      <c r="AL641" s="14" t="s">
        <v>207</v>
      </c>
      <c r="AM641" s="14" t="s">
        <v>207</v>
      </c>
      <c r="AN641" s="14" t="s">
        <v>207</v>
      </c>
      <c r="AO641" s="14" t="s">
        <v>207</v>
      </c>
      <c r="AP641" s="14" t="s">
        <v>207</v>
      </c>
      <c r="AQ641" s="14" t="s">
        <v>207</v>
      </c>
      <c r="AR641" s="14" t="s">
        <v>207</v>
      </c>
      <c r="AS641" s="14" t="s">
        <v>207</v>
      </c>
      <c r="AT641" s="14" t="s">
        <v>207</v>
      </c>
      <c r="AU641" s="30" t="s">
        <v>8002</v>
      </c>
      <c r="AV641" s="14" t="s">
        <v>207</v>
      </c>
      <c r="AW641" s="74"/>
      <c r="AX641" s="1"/>
      <c r="AY641" s="17" t="s">
        <v>101</v>
      </c>
    </row>
    <row r="642" spans="1:51" ht="12.75" customHeight="1" x14ac:dyDescent="0.25">
      <c r="A642" s="5">
        <v>622</v>
      </c>
      <c r="B642" s="9">
        <v>622</v>
      </c>
      <c r="C642" s="9" t="s">
        <v>8003</v>
      </c>
      <c r="D642" s="57" t="str">
        <f>HYPERLINK("http://prodenv.dep.state.fl.us/DepNexus/public/electronic-documents/OG_622/facility!search","OG_622_Docs")</f>
        <v>OG_622_Docs</v>
      </c>
      <c r="E642" s="57" t="str">
        <f>HYPERLINK("https://ca.dep.state.fl.us/mapdirect/?focus=oilandgas&amp;zoom=query&amp;querytype=oilandgas&amp;queryvalues=OG_622","OG_622_Map")</f>
        <v>OG_622_Map</v>
      </c>
      <c r="F642" s="1" t="s">
        <v>1797</v>
      </c>
      <c r="G642" s="1" t="s">
        <v>6648</v>
      </c>
      <c r="H642" s="1" t="s">
        <v>6668</v>
      </c>
      <c r="I642" s="1" t="s">
        <v>8004</v>
      </c>
      <c r="J642" s="17" t="s">
        <v>1476</v>
      </c>
      <c r="K642" s="17" t="s">
        <v>412</v>
      </c>
      <c r="L642" s="17"/>
      <c r="M642" s="17"/>
      <c r="N642" s="52" t="s">
        <v>6529</v>
      </c>
      <c r="O642" s="17" t="s">
        <v>86</v>
      </c>
      <c r="P642" s="17" t="s">
        <v>86</v>
      </c>
      <c r="Q642" s="81" t="s">
        <v>8005</v>
      </c>
      <c r="R642" s="11">
        <v>30.863327999999999</v>
      </c>
      <c r="S642" s="11">
        <v>-87.126384000000002</v>
      </c>
      <c r="T642" s="11" t="s">
        <v>8006</v>
      </c>
      <c r="U642" s="11" t="s">
        <v>8007</v>
      </c>
      <c r="V642" s="17" t="s">
        <v>835</v>
      </c>
      <c r="W642" s="17" t="s">
        <v>110</v>
      </c>
      <c r="X642" s="70">
        <v>176</v>
      </c>
      <c r="Y642" s="70">
        <v>159</v>
      </c>
      <c r="Z642" s="13">
        <v>26576</v>
      </c>
      <c r="AA642" s="13">
        <v>26633</v>
      </c>
      <c r="AB642" s="13">
        <v>27416</v>
      </c>
      <c r="AC642" s="13">
        <v>45839</v>
      </c>
      <c r="AD642" s="86">
        <v>16250</v>
      </c>
      <c r="AE642" s="86">
        <v>16250</v>
      </c>
      <c r="AF642" s="70" t="s">
        <v>8008</v>
      </c>
      <c r="AG642" s="17" t="s">
        <v>8009</v>
      </c>
      <c r="AH642" s="17" t="s">
        <v>94</v>
      </c>
      <c r="AI642" s="70" t="s">
        <v>8010</v>
      </c>
      <c r="AJ642" s="17" t="s">
        <v>8011</v>
      </c>
      <c r="AK642" s="17" t="s">
        <v>825</v>
      </c>
      <c r="AL642" s="17" t="s">
        <v>8012</v>
      </c>
      <c r="AM642" s="17" t="s">
        <v>825</v>
      </c>
      <c r="AN642" s="17" t="s">
        <v>86</v>
      </c>
      <c r="AO642" s="17" t="s">
        <v>8013</v>
      </c>
      <c r="AP642" s="17" t="s">
        <v>7524</v>
      </c>
      <c r="AQ642" s="17" t="s">
        <v>8014</v>
      </c>
      <c r="AR642" s="17" t="s">
        <v>8015</v>
      </c>
      <c r="AS642" s="17" t="s">
        <v>8016</v>
      </c>
      <c r="AT642" s="17">
        <v>250</v>
      </c>
      <c r="AU642" s="30" t="s">
        <v>8017</v>
      </c>
      <c r="AV642" s="14">
        <v>11725</v>
      </c>
      <c r="AW642" s="74">
        <v>303049</v>
      </c>
      <c r="AX642" s="1"/>
      <c r="AY642" s="17" t="s">
        <v>101</v>
      </c>
    </row>
    <row r="643" spans="1:51" ht="12.75" customHeight="1" x14ac:dyDescent="0.25">
      <c r="A643" s="5">
        <v>623</v>
      </c>
      <c r="B643" s="9">
        <v>623</v>
      </c>
      <c r="C643" s="9" t="s">
        <v>8018</v>
      </c>
      <c r="D643" s="57" t="str">
        <f>HYPERLINK("http://prodenv.dep.state.fl.us/DepNexus/public/electronic-documents/OG_623/facility!search","OG_623_Docs")</f>
        <v>OG_623_Docs</v>
      </c>
      <c r="E643" s="57" t="str">
        <f>HYPERLINK("https://ca.dep.state.fl.us/mapdirect/?focus=oilandgas&amp;zoom=query&amp;querytype=oilandgas&amp;queryvalues=OG_623","OG_623_Map")</f>
        <v>OG_623_Map</v>
      </c>
      <c r="F643" s="1" t="s">
        <v>1797</v>
      </c>
      <c r="G643" s="1" t="s">
        <v>6648</v>
      </c>
      <c r="H643" s="1" t="s">
        <v>6668</v>
      </c>
      <c r="I643" s="1" t="s">
        <v>8019</v>
      </c>
      <c r="J643" s="17" t="s">
        <v>7486</v>
      </c>
      <c r="K643" s="17" t="s">
        <v>412</v>
      </c>
      <c r="L643" s="17"/>
      <c r="M643" s="17"/>
      <c r="N643" s="52" t="s">
        <v>6529</v>
      </c>
      <c r="O643" s="17" t="s">
        <v>86</v>
      </c>
      <c r="P643" s="17" t="s">
        <v>86</v>
      </c>
      <c r="Q643" s="81" t="s">
        <v>8020</v>
      </c>
      <c r="R643" s="11">
        <v>30.841148</v>
      </c>
      <c r="S643" s="11">
        <v>-87.101547999999994</v>
      </c>
      <c r="T643" s="11" t="s">
        <v>8021</v>
      </c>
      <c r="U643" s="11" t="s">
        <v>8022</v>
      </c>
      <c r="V643" s="17" t="s">
        <v>8023</v>
      </c>
      <c r="W643" s="17" t="s">
        <v>110</v>
      </c>
      <c r="X643" s="70">
        <v>195.1</v>
      </c>
      <c r="Y643" s="70">
        <v>178.2</v>
      </c>
      <c r="Z643" s="13">
        <v>26576</v>
      </c>
      <c r="AA643" s="13">
        <v>26580</v>
      </c>
      <c r="AB643" s="13">
        <v>27260</v>
      </c>
      <c r="AC643" s="13">
        <v>45526</v>
      </c>
      <c r="AD643" s="86">
        <v>16030</v>
      </c>
      <c r="AE643" s="86">
        <v>16030</v>
      </c>
      <c r="AF643" s="70" t="s">
        <v>8024</v>
      </c>
      <c r="AG643" s="17" t="s">
        <v>8025</v>
      </c>
      <c r="AH643" s="17" t="s">
        <v>94</v>
      </c>
      <c r="AI643" s="70" t="s">
        <v>8026</v>
      </c>
      <c r="AJ643" s="17" t="s">
        <v>6658</v>
      </c>
      <c r="AK643" s="17" t="s">
        <v>825</v>
      </c>
      <c r="AL643" s="17" t="s">
        <v>8027</v>
      </c>
      <c r="AM643" s="17" t="s">
        <v>95</v>
      </c>
      <c r="AN643" s="17" t="s">
        <v>86</v>
      </c>
      <c r="AO643" s="17" t="s">
        <v>8028</v>
      </c>
      <c r="AP643" s="17" t="s">
        <v>8029</v>
      </c>
      <c r="AQ643" s="17" t="s">
        <v>8030</v>
      </c>
      <c r="AR643" s="17" t="s">
        <v>8031</v>
      </c>
      <c r="AS643" s="17" t="s">
        <v>8032</v>
      </c>
      <c r="AT643" s="17"/>
      <c r="AU643" s="30" t="s">
        <v>8033</v>
      </c>
      <c r="AV643" s="14">
        <v>11677</v>
      </c>
      <c r="AW643" s="74">
        <v>303048</v>
      </c>
      <c r="AX643" s="1" t="s">
        <v>8034</v>
      </c>
      <c r="AY643" s="17" t="s">
        <v>101</v>
      </c>
    </row>
    <row r="644" spans="1:51" ht="15" customHeight="1" x14ac:dyDescent="0.25">
      <c r="A644" s="5">
        <v>624</v>
      </c>
      <c r="B644" s="9">
        <v>624</v>
      </c>
      <c r="C644" s="9" t="s">
        <v>8035</v>
      </c>
      <c r="D644" s="57" t="str">
        <f>HYPERLINK("http://prodenv.dep.state.fl.us/DepNexus/public/electronic-documents/OG_624/facility!search","OG_624_Docs")</f>
        <v>OG_624_Docs</v>
      </c>
      <c r="E644" s="57" t="str">
        <f>HYPERLINK("https://ca.dep.state.fl.us/mapdirect/?focus=oilandgas&amp;zoom=query&amp;querytype=oilandgas&amp;queryvalues=OG_624","OG_624_Map")</f>
        <v>OG_624_Map</v>
      </c>
      <c r="F644" s="1" t="s">
        <v>1797</v>
      </c>
      <c r="G644" s="1" t="s">
        <v>5133</v>
      </c>
      <c r="H644" s="1" t="s">
        <v>176</v>
      </c>
      <c r="I644" s="1" t="s">
        <v>8036</v>
      </c>
      <c r="J644" s="17" t="s">
        <v>82</v>
      </c>
      <c r="K644" s="17" t="s">
        <v>8037</v>
      </c>
      <c r="L644" s="17"/>
      <c r="M644" s="17"/>
      <c r="N644" s="52" t="s">
        <v>8038</v>
      </c>
      <c r="O644" s="17" t="s">
        <v>86</v>
      </c>
      <c r="P644" s="17" t="s">
        <v>86</v>
      </c>
      <c r="Q644" s="81" t="s">
        <v>8039</v>
      </c>
      <c r="R644" s="11">
        <v>30.938077</v>
      </c>
      <c r="S644" s="11">
        <v>-87.183547000000004</v>
      </c>
      <c r="T644" s="11" t="s">
        <v>8040</v>
      </c>
      <c r="U644" s="11" t="s">
        <v>8041</v>
      </c>
      <c r="V644" s="17" t="s">
        <v>8042</v>
      </c>
      <c r="W644" s="17" t="s">
        <v>110</v>
      </c>
      <c r="X644" s="70">
        <v>277.89999999999998</v>
      </c>
      <c r="Y644" s="70">
        <v>259</v>
      </c>
      <c r="Z644" s="13">
        <v>26576</v>
      </c>
      <c r="AA644" s="13">
        <v>26588</v>
      </c>
      <c r="AB644" s="13">
        <v>26653</v>
      </c>
      <c r="AC644" s="13">
        <v>26712</v>
      </c>
      <c r="AD644" s="86">
        <v>15975</v>
      </c>
      <c r="AE644" s="86">
        <v>15975</v>
      </c>
      <c r="AF644" s="71" t="s">
        <v>3172</v>
      </c>
      <c r="AG644" s="17" t="s">
        <v>8043</v>
      </c>
      <c r="AH644" s="17" t="s">
        <v>94</v>
      </c>
      <c r="AI644" s="70" t="s">
        <v>7164</v>
      </c>
      <c r="AJ644" s="17" t="s">
        <v>8044</v>
      </c>
      <c r="AK644" s="17" t="s">
        <v>94</v>
      </c>
      <c r="AL644" s="17" t="s">
        <v>8045</v>
      </c>
      <c r="AM644" s="17" t="s">
        <v>95</v>
      </c>
      <c r="AN644" s="17" t="s">
        <v>94</v>
      </c>
      <c r="AO644" s="17" t="s">
        <v>98</v>
      </c>
      <c r="AP644" s="17" t="s">
        <v>98</v>
      </c>
      <c r="AQ644" s="17" t="s">
        <v>98</v>
      </c>
      <c r="AR644" s="17" t="s">
        <v>8046</v>
      </c>
      <c r="AS644" s="17" t="s">
        <v>8047</v>
      </c>
      <c r="AT644" s="17"/>
      <c r="AU644" s="30" t="s">
        <v>8048</v>
      </c>
      <c r="AV644" s="14">
        <v>11678</v>
      </c>
      <c r="AW644" s="74"/>
      <c r="AX644" s="1" t="s">
        <v>8049</v>
      </c>
      <c r="AY644" s="17" t="s">
        <v>101</v>
      </c>
    </row>
    <row r="645" spans="1:51" ht="15" customHeight="1" x14ac:dyDescent="0.25">
      <c r="A645" s="5">
        <v>625</v>
      </c>
      <c r="B645" s="9">
        <v>625</v>
      </c>
      <c r="C645" s="9" t="s">
        <v>8050</v>
      </c>
      <c r="D645" s="57" t="str">
        <f>HYPERLINK("http://prodenv.dep.state.fl.us/DepNexus/public/electronic-documents/OG_625/facility!search","OG_625_Docs")</f>
        <v>OG_625_Docs</v>
      </c>
      <c r="E645" s="57" t="str">
        <f>HYPERLINK("https://ca.dep.state.fl.us/mapdirect/?focus=oilandgas&amp;zoom=query&amp;querytype=oilandgas&amp;queryvalues=OG_625","OG_625_Map")</f>
        <v>OG_625_Map</v>
      </c>
      <c r="F645" s="1" t="s">
        <v>2026</v>
      </c>
      <c r="G645" s="1" t="s">
        <v>79</v>
      </c>
      <c r="H645" s="1" t="s">
        <v>6141</v>
      </c>
      <c r="I645" s="1" t="s">
        <v>8051</v>
      </c>
      <c r="J645" s="17" t="s">
        <v>82</v>
      </c>
      <c r="K645" s="17" t="s">
        <v>83</v>
      </c>
      <c r="L645" s="17"/>
      <c r="M645" s="17"/>
      <c r="N645" s="52" t="s">
        <v>3956</v>
      </c>
      <c r="O645" s="17" t="s">
        <v>86</v>
      </c>
      <c r="P645" s="17" t="s">
        <v>86</v>
      </c>
      <c r="Q645" s="81" t="s">
        <v>8052</v>
      </c>
      <c r="R645" s="11">
        <v>26.509528</v>
      </c>
      <c r="S645" s="11">
        <v>-81.583888000000002</v>
      </c>
      <c r="T645" s="11" t="s">
        <v>8053</v>
      </c>
      <c r="U645" s="11" t="s">
        <v>8054</v>
      </c>
      <c r="V645" s="17" t="s">
        <v>8055</v>
      </c>
      <c r="W645" s="17" t="s">
        <v>110</v>
      </c>
      <c r="X645" s="70">
        <v>48.1</v>
      </c>
      <c r="Y645" s="70">
        <v>30.6</v>
      </c>
      <c r="Z645" s="13">
        <v>26576</v>
      </c>
      <c r="AA645" s="13">
        <v>26647</v>
      </c>
      <c r="AB645" s="13"/>
      <c r="AC645" s="13">
        <v>26683</v>
      </c>
      <c r="AD645" s="86">
        <v>11808</v>
      </c>
      <c r="AE645" s="86">
        <v>11808</v>
      </c>
      <c r="AF645" s="70" t="s">
        <v>2752</v>
      </c>
      <c r="AG645" s="17" t="s">
        <v>8056</v>
      </c>
      <c r="AH645" s="23" t="s">
        <v>8057</v>
      </c>
      <c r="AI645" s="70" t="s">
        <v>94</v>
      </c>
      <c r="AJ645" s="17" t="s">
        <v>94</v>
      </c>
      <c r="AK645" s="17" t="s">
        <v>95</v>
      </c>
      <c r="AL645" s="17" t="s">
        <v>95</v>
      </c>
      <c r="AM645" s="17" t="s">
        <v>94</v>
      </c>
      <c r="AN645" s="17" t="s">
        <v>94</v>
      </c>
      <c r="AO645" s="17" t="s">
        <v>98</v>
      </c>
      <c r="AP645" s="17" t="s">
        <v>98</v>
      </c>
      <c r="AQ645" s="17" t="s">
        <v>98</v>
      </c>
      <c r="AR645" s="17" t="s">
        <v>94</v>
      </c>
      <c r="AS645" s="17" t="s">
        <v>8058</v>
      </c>
      <c r="AT645" s="17"/>
      <c r="AU645" s="30" t="s">
        <v>8059</v>
      </c>
      <c r="AV645" s="14">
        <v>11769</v>
      </c>
      <c r="AW645" s="74"/>
      <c r="AX645" s="1"/>
      <c r="AY645" s="17" t="s">
        <v>101</v>
      </c>
    </row>
    <row r="646" spans="1:51" ht="12.75" customHeight="1" x14ac:dyDescent="0.25">
      <c r="A646" s="5">
        <v>626</v>
      </c>
      <c r="B646" s="9">
        <v>626</v>
      </c>
      <c r="C646" s="9" t="s">
        <v>8060</v>
      </c>
      <c r="D646" s="57" t="str">
        <f>HYPERLINK("http://prodenv.dep.state.fl.us/DepNexus/public/electronic-documents/OG_626/facility!search","OG_626_Docs")</f>
        <v>OG_626_Docs</v>
      </c>
      <c r="E646" s="57" t="str">
        <f>HYPERLINK("https://ca.dep.state.fl.us/mapdirect/?focus=oilandgas&amp;zoom=query&amp;querytype=oilandgas&amp;queryvalues=OG_626","OG_626_Map")</f>
        <v>OG_626_Map</v>
      </c>
      <c r="F646" s="1" t="s">
        <v>1797</v>
      </c>
      <c r="G646" s="1" t="s">
        <v>79</v>
      </c>
      <c r="H646" s="1" t="s">
        <v>7911</v>
      </c>
      <c r="I646" s="1" t="s">
        <v>8061</v>
      </c>
      <c r="J646" s="17" t="s">
        <v>207</v>
      </c>
      <c r="K646" s="17" t="s">
        <v>208</v>
      </c>
      <c r="L646" s="17"/>
      <c r="M646" s="17" t="s">
        <v>207</v>
      </c>
      <c r="N646" s="52" t="s">
        <v>86</v>
      </c>
      <c r="O646" s="17" t="s">
        <v>86</v>
      </c>
      <c r="P646" s="17" t="s">
        <v>86</v>
      </c>
      <c r="Q646" s="81" t="s">
        <v>8062</v>
      </c>
      <c r="R646" s="11">
        <v>30.762255</v>
      </c>
      <c r="S646" s="11">
        <v>-86.912384000000003</v>
      </c>
      <c r="T646" s="11" t="s">
        <v>8063</v>
      </c>
      <c r="U646" s="11" t="s">
        <v>8064</v>
      </c>
      <c r="V646" s="17" t="s">
        <v>8065</v>
      </c>
      <c r="W646" s="17" t="s">
        <v>110</v>
      </c>
      <c r="X646" s="70"/>
      <c r="Y646" s="70"/>
      <c r="Z646" s="13">
        <v>26603</v>
      </c>
      <c r="AA646" s="13"/>
      <c r="AB646" s="13"/>
      <c r="AC646" s="13"/>
      <c r="AD646" s="86"/>
      <c r="AE646" s="70"/>
      <c r="AF646" s="70" t="s">
        <v>207</v>
      </c>
      <c r="AG646" s="14" t="s">
        <v>207</v>
      </c>
      <c r="AH646" s="14" t="s">
        <v>207</v>
      </c>
      <c r="AI646" s="70" t="s">
        <v>207</v>
      </c>
      <c r="AJ646" s="14" t="s">
        <v>207</v>
      </c>
      <c r="AK646" s="14" t="s">
        <v>207</v>
      </c>
      <c r="AL646" s="14" t="s">
        <v>207</v>
      </c>
      <c r="AM646" s="14" t="s">
        <v>207</v>
      </c>
      <c r="AN646" s="14" t="s">
        <v>207</v>
      </c>
      <c r="AO646" s="14" t="s">
        <v>207</v>
      </c>
      <c r="AP646" s="14" t="s">
        <v>207</v>
      </c>
      <c r="AQ646" s="14" t="s">
        <v>207</v>
      </c>
      <c r="AR646" s="14" t="s">
        <v>207</v>
      </c>
      <c r="AS646" s="14" t="s">
        <v>207</v>
      </c>
      <c r="AT646" s="14" t="s">
        <v>207</v>
      </c>
      <c r="AU646" s="30" t="s">
        <v>8066</v>
      </c>
      <c r="AV646" s="14" t="s">
        <v>207</v>
      </c>
      <c r="AW646" s="74"/>
      <c r="AX646" s="1"/>
      <c r="AY646" s="17" t="s">
        <v>101</v>
      </c>
    </row>
    <row r="647" spans="1:51" ht="12.75" customHeight="1" x14ac:dyDescent="0.25">
      <c r="A647" s="5">
        <v>627</v>
      </c>
      <c r="B647" s="9">
        <v>627</v>
      </c>
      <c r="C647" s="9" t="s">
        <v>8067</v>
      </c>
      <c r="D647" s="57" t="str">
        <f>HYPERLINK("http://prodenv.dep.state.fl.us/DepNexus/public/electronic-documents/OG_627/facility!search","OG_627_Docs")</f>
        <v>OG_627_Docs</v>
      </c>
      <c r="E647" s="57" t="str">
        <f>HYPERLINK("https://ca.dep.state.fl.us/mapdirect/?focus=oilandgas&amp;zoom=query&amp;querytype=oilandgas&amp;queryvalues=OG_627","OG_627_Map")</f>
        <v>OG_627_Map</v>
      </c>
      <c r="F647" s="1" t="s">
        <v>1797</v>
      </c>
      <c r="G647" s="1" t="s">
        <v>5133</v>
      </c>
      <c r="H647" s="1" t="s">
        <v>1363</v>
      </c>
      <c r="I647" s="1" t="s">
        <v>8068</v>
      </c>
      <c r="J647" s="17" t="s">
        <v>5135</v>
      </c>
      <c r="K647" s="17" t="s">
        <v>4266</v>
      </c>
      <c r="L647" s="17"/>
      <c r="M647" s="17"/>
      <c r="N647" s="52" t="s">
        <v>8069</v>
      </c>
      <c r="O647" s="17" t="s">
        <v>86</v>
      </c>
      <c r="P647" s="17" t="s">
        <v>86</v>
      </c>
      <c r="Q647" s="81" t="s">
        <v>8070</v>
      </c>
      <c r="R647" s="11">
        <v>30.95984</v>
      </c>
      <c r="S647" s="11">
        <v>-87.200006999999999</v>
      </c>
      <c r="T647" s="11" t="s">
        <v>8071</v>
      </c>
      <c r="U647" s="11" t="s">
        <v>8072</v>
      </c>
      <c r="V647" s="17" t="s">
        <v>8073</v>
      </c>
      <c r="W647" s="17" t="s">
        <v>110</v>
      </c>
      <c r="X647" s="70">
        <v>196</v>
      </c>
      <c r="Y647" s="70">
        <v>177</v>
      </c>
      <c r="Z647" s="13">
        <v>26603</v>
      </c>
      <c r="AA647" s="13">
        <v>26634</v>
      </c>
      <c r="AB647" s="13">
        <v>27057</v>
      </c>
      <c r="AC647" s="13"/>
      <c r="AD647" s="86">
        <v>15828</v>
      </c>
      <c r="AE647" s="86">
        <v>15828</v>
      </c>
      <c r="AF647" s="70" t="s">
        <v>2031</v>
      </c>
      <c r="AG647" s="17" t="s">
        <v>7625</v>
      </c>
      <c r="AH647" s="17" t="s">
        <v>94</v>
      </c>
      <c r="AI647" s="70" t="s">
        <v>8074</v>
      </c>
      <c r="AJ647" s="17" t="s">
        <v>8075</v>
      </c>
      <c r="AK647" s="17" t="s">
        <v>94</v>
      </c>
      <c r="AL647" s="17" t="s">
        <v>8076</v>
      </c>
      <c r="AM647" s="17" t="s">
        <v>95</v>
      </c>
      <c r="AN647" s="17" t="s">
        <v>8077</v>
      </c>
      <c r="AO647" s="17" t="s">
        <v>8078</v>
      </c>
      <c r="AP647" s="17" t="s">
        <v>8079</v>
      </c>
      <c r="AQ647" s="17" t="s">
        <v>6702</v>
      </c>
      <c r="AR647" s="17" t="s">
        <v>8080</v>
      </c>
      <c r="AS647" s="17"/>
      <c r="AT647" s="17"/>
      <c r="AU647" s="30" t="s">
        <v>8081</v>
      </c>
      <c r="AV647" s="14">
        <v>11723</v>
      </c>
      <c r="AW647" s="74">
        <v>311598</v>
      </c>
      <c r="AX647" s="1" t="s">
        <v>8082</v>
      </c>
      <c r="AY647" s="17" t="s">
        <v>101</v>
      </c>
    </row>
    <row r="648" spans="1:51" ht="12.75" customHeight="1" x14ac:dyDescent="0.25">
      <c r="A648" s="5">
        <v>628</v>
      </c>
      <c r="B648" s="9">
        <v>628</v>
      </c>
      <c r="C648" s="9" t="s">
        <v>8083</v>
      </c>
      <c r="D648" s="57" t="str">
        <f>HYPERLINK("http://prodenv.dep.state.fl.us/DepNexus/public/electronic-documents/OG_628/facility!search","OG_628_Docs")</f>
        <v>OG_628_Docs</v>
      </c>
      <c r="E648" s="57" t="str">
        <f>HYPERLINK("https://ca.dep.state.fl.us/mapdirect/?focus=oilandgas&amp;zoom=query&amp;querytype=oilandgas&amp;queryvalues=OG_628","OG_628_Map")</f>
        <v>OG_628_Map</v>
      </c>
      <c r="F648" s="1" t="s">
        <v>1797</v>
      </c>
      <c r="G648" s="1" t="s">
        <v>79</v>
      </c>
      <c r="H648" s="1" t="s">
        <v>5474</v>
      </c>
      <c r="I648" s="1" t="s">
        <v>8084</v>
      </c>
      <c r="J648" s="17" t="s">
        <v>82</v>
      </c>
      <c r="K648" s="17" t="s">
        <v>83</v>
      </c>
      <c r="L648" s="17"/>
      <c r="M648" s="17"/>
      <c r="N648" s="52" t="s">
        <v>4802</v>
      </c>
      <c r="O648" s="17" t="s">
        <v>86</v>
      </c>
      <c r="P648" s="17" t="s">
        <v>86</v>
      </c>
      <c r="Q648" s="81" t="s">
        <v>8085</v>
      </c>
      <c r="R648" s="11">
        <v>30.830643999999999</v>
      </c>
      <c r="S648" s="11">
        <v>-87.071099000000004</v>
      </c>
      <c r="T648" s="11" t="s">
        <v>8086</v>
      </c>
      <c r="U648" s="11" t="s">
        <v>8087</v>
      </c>
      <c r="V648" s="17" t="s">
        <v>8088</v>
      </c>
      <c r="W648" s="17" t="s">
        <v>110</v>
      </c>
      <c r="X648" s="70">
        <v>67.260000000000005</v>
      </c>
      <c r="Y648" s="70">
        <v>45.26</v>
      </c>
      <c r="Z648" s="13">
        <v>26632</v>
      </c>
      <c r="AA648" s="13">
        <v>26678</v>
      </c>
      <c r="AB648" s="13"/>
      <c r="AC648" s="13">
        <v>26737</v>
      </c>
      <c r="AD648" s="86">
        <v>16033</v>
      </c>
      <c r="AE648" s="86">
        <v>16033</v>
      </c>
      <c r="AF648" s="70" t="s">
        <v>2703</v>
      </c>
      <c r="AG648" s="23" t="s">
        <v>8089</v>
      </c>
      <c r="AH648" s="17" t="s">
        <v>94</v>
      </c>
      <c r="AI648" s="70" t="s">
        <v>94</v>
      </c>
      <c r="AJ648" s="17" t="s">
        <v>94</v>
      </c>
      <c r="AK648" s="17" t="s">
        <v>95</v>
      </c>
      <c r="AL648" s="17" t="s">
        <v>94</v>
      </c>
      <c r="AM648" s="17" t="s">
        <v>94</v>
      </c>
      <c r="AN648" s="17" t="s">
        <v>94</v>
      </c>
      <c r="AO648" s="17" t="s">
        <v>98</v>
      </c>
      <c r="AP648" s="17" t="s">
        <v>98</v>
      </c>
      <c r="AQ648" s="17" t="s">
        <v>98</v>
      </c>
      <c r="AR648" s="17" t="s">
        <v>94</v>
      </c>
      <c r="AS648" s="17" t="s">
        <v>8090</v>
      </c>
      <c r="AT648" s="17"/>
      <c r="AU648" s="30" t="s">
        <v>8091</v>
      </c>
      <c r="AV648" s="14">
        <v>11815</v>
      </c>
      <c r="AW648" s="74"/>
      <c r="AX648" s="1"/>
      <c r="AY648" s="17" t="s">
        <v>101</v>
      </c>
    </row>
    <row r="649" spans="1:51" ht="15" customHeight="1" x14ac:dyDescent="0.25">
      <c r="A649" s="5">
        <v>629</v>
      </c>
      <c r="B649" s="9">
        <v>629</v>
      </c>
      <c r="C649" s="9" t="s">
        <v>8092</v>
      </c>
      <c r="D649" s="57" t="str">
        <f>HYPERLINK("http://prodenv.dep.state.fl.us/DepNexus/public/electronic-documents/OG_629/facility!search","OG_629_Docs")</f>
        <v>OG_629_Docs</v>
      </c>
      <c r="E649" s="57" t="str">
        <f>HYPERLINK("https://ca.dep.state.fl.us/mapdirect/?focus=oilandgas&amp;zoom=query&amp;querytype=oilandgas&amp;queryvalues=OG_629","OG_629_Map")</f>
        <v>OG_629_Map</v>
      </c>
      <c r="F649" s="1" t="s">
        <v>7394</v>
      </c>
      <c r="G649" s="1" t="s">
        <v>79</v>
      </c>
      <c r="H649" s="1" t="s">
        <v>8093</v>
      </c>
      <c r="I649" s="1" t="s">
        <v>8094</v>
      </c>
      <c r="J649" s="17" t="s">
        <v>82</v>
      </c>
      <c r="K649" s="17" t="s">
        <v>83</v>
      </c>
      <c r="L649" s="17"/>
      <c r="M649" s="17" t="s">
        <v>101</v>
      </c>
      <c r="N649" s="52" t="s">
        <v>8095</v>
      </c>
      <c r="O649" s="17" t="s">
        <v>86</v>
      </c>
      <c r="P649" s="17" t="s">
        <v>86</v>
      </c>
      <c r="Q649" s="81" t="s">
        <v>8096</v>
      </c>
      <c r="R649" s="11">
        <v>28.422329000000001</v>
      </c>
      <c r="S649" s="11">
        <v>-81.832789000000005</v>
      </c>
      <c r="T649" s="11" t="s">
        <v>8097</v>
      </c>
      <c r="U649" s="11" t="s">
        <v>8098</v>
      </c>
      <c r="V649" s="17" t="s">
        <v>8099</v>
      </c>
      <c r="W649" s="17" t="s">
        <v>110</v>
      </c>
      <c r="X649" s="70">
        <v>127</v>
      </c>
      <c r="Y649" s="70">
        <v>13</v>
      </c>
      <c r="Z649" s="13">
        <v>26645</v>
      </c>
      <c r="AA649" s="13">
        <v>26652</v>
      </c>
      <c r="AB649" s="13">
        <v>26696</v>
      </c>
      <c r="AC649" s="13">
        <v>26696</v>
      </c>
      <c r="AD649" s="86">
        <v>5778</v>
      </c>
      <c r="AE649" s="86">
        <v>5778</v>
      </c>
      <c r="AF649" s="70" t="s">
        <v>8100</v>
      </c>
      <c r="AG649" s="17" t="s">
        <v>8101</v>
      </c>
      <c r="AH649" s="17" t="s">
        <v>8102</v>
      </c>
      <c r="AI649" s="70" t="s">
        <v>94</v>
      </c>
      <c r="AJ649" s="17" t="s">
        <v>94</v>
      </c>
      <c r="AK649" s="17" t="s">
        <v>95</v>
      </c>
      <c r="AL649" s="17" t="s">
        <v>94</v>
      </c>
      <c r="AM649" s="17" t="s">
        <v>94</v>
      </c>
      <c r="AN649" s="17" t="s">
        <v>94</v>
      </c>
      <c r="AO649" s="17" t="s">
        <v>98</v>
      </c>
      <c r="AP649" s="17" t="s">
        <v>98</v>
      </c>
      <c r="AQ649" s="17" t="s">
        <v>98</v>
      </c>
      <c r="AR649" s="17" t="s">
        <v>94</v>
      </c>
      <c r="AS649" s="17" t="s">
        <v>8103</v>
      </c>
      <c r="AT649" s="17">
        <v>144</v>
      </c>
      <c r="AU649" s="30" t="s">
        <v>8104</v>
      </c>
      <c r="AV649" s="14">
        <v>11771</v>
      </c>
      <c r="AW649" s="74"/>
      <c r="AX649" s="1"/>
      <c r="AY649" s="17" t="s">
        <v>101</v>
      </c>
    </row>
    <row r="650" spans="1:51" ht="12.75" customHeight="1" x14ac:dyDescent="0.25">
      <c r="A650" s="5">
        <v>630</v>
      </c>
      <c r="B650" s="9">
        <v>630</v>
      </c>
      <c r="C650" s="9" t="s">
        <v>8105</v>
      </c>
      <c r="D650" s="57" t="str">
        <f>HYPERLINK("http://prodenv.dep.state.fl.us/DepNexus/public/electronic-documents/OG_630/facility!search","OG_630_Docs")</f>
        <v>OG_630_Docs</v>
      </c>
      <c r="E650" s="57" t="str">
        <f>HYPERLINK("https://ca.dep.state.fl.us/mapdirect/?focus=oilandgas&amp;zoom=query&amp;querytype=oilandgas&amp;queryvalues=OG_630","OG_630_Map")</f>
        <v>OG_630_Map</v>
      </c>
      <c r="F650" s="1" t="s">
        <v>2697</v>
      </c>
      <c r="G650" s="1" t="s">
        <v>79</v>
      </c>
      <c r="H650" s="1" t="s">
        <v>8106</v>
      </c>
      <c r="I650" s="1" t="s">
        <v>8107</v>
      </c>
      <c r="J650" s="17" t="s">
        <v>207</v>
      </c>
      <c r="K650" s="17" t="s">
        <v>208</v>
      </c>
      <c r="L650" s="17"/>
      <c r="M650" s="17" t="s">
        <v>207</v>
      </c>
      <c r="N650" s="52" t="s">
        <v>86</v>
      </c>
      <c r="O650" s="17" t="s">
        <v>86</v>
      </c>
      <c r="P650" s="17" t="s">
        <v>86</v>
      </c>
      <c r="Q650" s="81" t="s">
        <v>8108</v>
      </c>
      <c r="R650" s="11">
        <v>27.145814999999999</v>
      </c>
      <c r="S650" s="11">
        <v>-81.392906999999994</v>
      </c>
      <c r="T650" s="11" t="s">
        <v>8109</v>
      </c>
      <c r="U650" s="11" t="s">
        <v>8110</v>
      </c>
      <c r="V650" s="17" t="s">
        <v>8111</v>
      </c>
      <c r="W650" s="17" t="s">
        <v>110</v>
      </c>
      <c r="X650" s="70"/>
      <c r="Y650" s="70"/>
      <c r="Z650" s="13">
        <v>26645</v>
      </c>
      <c r="AA650" s="13"/>
      <c r="AB650" s="13"/>
      <c r="AC650" s="13"/>
      <c r="AD650" s="86"/>
      <c r="AE650" s="70"/>
      <c r="AF650" s="70" t="s">
        <v>207</v>
      </c>
      <c r="AG650" s="14" t="s">
        <v>207</v>
      </c>
      <c r="AH650" s="14" t="s">
        <v>207</v>
      </c>
      <c r="AI650" s="70" t="s">
        <v>207</v>
      </c>
      <c r="AJ650" s="14" t="s">
        <v>207</v>
      </c>
      <c r="AK650" s="14" t="s">
        <v>207</v>
      </c>
      <c r="AL650" s="14" t="s">
        <v>207</v>
      </c>
      <c r="AM650" s="14" t="s">
        <v>207</v>
      </c>
      <c r="AN650" s="14" t="s">
        <v>207</v>
      </c>
      <c r="AO650" s="14" t="s">
        <v>207</v>
      </c>
      <c r="AP650" s="14" t="s">
        <v>207</v>
      </c>
      <c r="AQ650" s="14" t="s">
        <v>207</v>
      </c>
      <c r="AR650" s="14" t="s">
        <v>207</v>
      </c>
      <c r="AS650" s="14" t="s">
        <v>207</v>
      </c>
      <c r="AT650" s="14" t="s">
        <v>207</v>
      </c>
      <c r="AU650" s="30" t="s">
        <v>8112</v>
      </c>
      <c r="AV650" s="14" t="s">
        <v>207</v>
      </c>
      <c r="AW650" s="74"/>
      <c r="AX650" s="1"/>
      <c r="AY650" s="17" t="s">
        <v>101</v>
      </c>
    </row>
    <row r="651" spans="1:51" ht="12.75" customHeight="1" x14ac:dyDescent="0.25">
      <c r="A651" s="5">
        <v>631</v>
      </c>
      <c r="B651" s="9">
        <v>631</v>
      </c>
      <c r="C651" s="9" t="s">
        <v>8113</v>
      </c>
      <c r="D651" s="57" t="str">
        <f>HYPERLINK("http://prodenv.dep.state.fl.us/DepNexus/public/electronic-documents/OG_631/facility!search","OG_631_Docs")</f>
        <v>OG_631_Docs</v>
      </c>
      <c r="E651" s="57" t="str">
        <f>HYPERLINK("https://ca.dep.state.fl.us/mapdirect/?focus=oilandgas&amp;zoom=query&amp;querytype=oilandgas&amp;queryvalues=OG_631","OG_631_Map")</f>
        <v>OG_631_Map</v>
      </c>
      <c r="F651" s="1" t="s">
        <v>265</v>
      </c>
      <c r="G651" s="1" t="s">
        <v>79</v>
      </c>
      <c r="H651" s="1" t="s">
        <v>6393</v>
      </c>
      <c r="I651" s="1" t="s">
        <v>8114</v>
      </c>
      <c r="J651" s="17" t="s">
        <v>82</v>
      </c>
      <c r="K651" s="17" t="s">
        <v>83</v>
      </c>
      <c r="L651" s="17"/>
      <c r="M651" s="17"/>
      <c r="N651" s="52" t="s">
        <v>3956</v>
      </c>
      <c r="O651" s="17" t="s">
        <v>270</v>
      </c>
      <c r="P651" s="17" t="s">
        <v>86</v>
      </c>
      <c r="Q651" s="81" t="s">
        <v>8115</v>
      </c>
      <c r="R651" s="11">
        <v>26.283909000000001</v>
      </c>
      <c r="S651" s="11">
        <v>-81.411834999999996</v>
      </c>
      <c r="T651" s="11" t="s">
        <v>8116</v>
      </c>
      <c r="U651" s="11" t="s">
        <v>8117</v>
      </c>
      <c r="V651" s="17" t="s">
        <v>8118</v>
      </c>
      <c r="W651" s="17" t="s">
        <v>110</v>
      </c>
      <c r="X651" s="70">
        <v>34.5</v>
      </c>
      <c r="Y651" s="70">
        <v>18</v>
      </c>
      <c r="Z651" s="13">
        <v>26667</v>
      </c>
      <c r="AA651" s="13">
        <v>26723</v>
      </c>
      <c r="AB651" s="13"/>
      <c r="AC651" s="13">
        <v>26723</v>
      </c>
      <c r="AD651" s="86">
        <v>11940</v>
      </c>
      <c r="AE651" s="86">
        <v>11940</v>
      </c>
      <c r="AF651" s="70" t="s">
        <v>5678</v>
      </c>
      <c r="AG651" s="17" t="s">
        <v>8119</v>
      </c>
      <c r="AH651" s="23" t="s">
        <v>8120</v>
      </c>
      <c r="AI651" s="70" t="s">
        <v>94</v>
      </c>
      <c r="AJ651" s="17" t="s">
        <v>94</v>
      </c>
      <c r="AK651" s="17" t="s">
        <v>95</v>
      </c>
      <c r="AL651" s="17" t="s">
        <v>95</v>
      </c>
      <c r="AM651" s="17" t="s">
        <v>94</v>
      </c>
      <c r="AN651" s="17" t="s">
        <v>94</v>
      </c>
      <c r="AO651" s="17" t="s">
        <v>98</v>
      </c>
      <c r="AP651" s="17" t="s">
        <v>98</v>
      </c>
      <c r="AQ651" s="17" t="s">
        <v>98</v>
      </c>
      <c r="AR651" s="17" t="s">
        <v>94</v>
      </c>
      <c r="AS651" s="17" t="s">
        <v>8121</v>
      </c>
      <c r="AT651" s="17"/>
      <c r="AU651" s="30" t="s">
        <v>8122</v>
      </c>
      <c r="AV651" s="14">
        <v>11869</v>
      </c>
      <c r="AW651" s="74"/>
      <c r="AX651" s="1"/>
      <c r="AY651" s="17" t="s">
        <v>101</v>
      </c>
    </row>
    <row r="652" spans="1:51" ht="12.75" customHeight="1" x14ac:dyDescent="0.25">
      <c r="A652" s="5">
        <v>632</v>
      </c>
      <c r="B652" s="9">
        <v>632</v>
      </c>
      <c r="C652" s="9" t="s">
        <v>8123</v>
      </c>
      <c r="D652" s="57" t="str">
        <f>HYPERLINK("http://prodenv.dep.state.fl.us/DepNexus/public/electronic-documents/OG_632/facility!search","OG_632_Docs")</f>
        <v>OG_632_Docs</v>
      </c>
      <c r="E652" s="57" t="str">
        <f>HYPERLINK("https://ca.dep.state.fl.us/mapdirect/?focus=oilandgas&amp;zoom=query&amp;querytype=oilandgas&amp;queryvalues=OG_632","OG_632_Map")</f>
        <v>OG_632_Map</v>
      </c>
      <c r="F652" s="1" t="s">
        <v>1797</v>
      </c>
      <c r="G652" s="1" t="s">
        <v>1798</v>
      </c>
      <c r="H652" s="1" t="s">
        <v>5605</v>
      </c>
      <c r="I652" s="1" t="s">
        <v>8124</v>
      </c>
      <c r="J652" s="17" t="s">
        <v>268</v>
      </c>
      <c r="K652" s="17" t="s">
        <v>412</v>
      </c>
      <c r="L652" s="17"/>
      <c r="M652" s="17"/>
      <c r="N652" s="52" t="s">
        <v>7514</v>
      </c>
      <c r="O652" s="17" t="s">
        <v>86</v>
      </c>
      <c r="P652" s="17" t="s">
        <v>86</v>
      </c>
      <c r="Q652" s="81" t="s">
        <v>8125</v>
      </c>
      <c r="R652" s="11">
        <v>30.983179</v>
      </c>
      <c r="S652" s="11">
        <v>-87.125608999999997</v>
      </c>
      <c r="T652" s="11" t="s">
        <v>8126</v>
      </c>
      <c r="U652" s="11" t="s">
        <v>8127</v>
      </c>
      <c r="V652" s="17" t="s">
        <v>5582</v>
      </c>
      <c r="W652" s="17" t="s">
        <v>110</v>
      </c>
      <c r="X652" s="70">
        <v>296.60000000000002</v>
      </c>
      <c r="Y652" s="70">
        <v>262.10000000000002</v>
      </c>
      <c r="Z652" s="13">
        <v>26667</v>
      </c>
      <c r="AA652" s="13">
        <v>26711</v>
      </c>
      <c r="AB652" s="13"/>
      <c r="AC652" s="13">
        <v>26780</v>
      </c>
      <c r="AD652" s="86">
        <v>15190</v>
      </c>
      <c r="AE652" s="86">
        <v>15190</v>
      </c>
      <c r="AF652" s="71" t="s">
        <v>6224</v>
      </c>
      <c r="AG652" s="23" t="s">
        <v>8128</v>
      </c>
      <c r="AH652" s="17" t="s">
        <v>94</v>
      </c>
      <c r="AI652" s="70" t="s">
        <v>8129</v>
      </c>
      <c r="AJ652" s="17" t="s">
        <v>8130</v>
      </c>
      <c r="AK652" s="17" t="s">
        <v>95</v>
      </c>
      <c r="AL652" s="17" t="s">
        <v>8131</v>
      </c>
      <c r="AM652" s="17" t="s">
        <v>95</v>
      </c>
      <c r="AN652" s="17" t="s">
        <v>8132</v>
      </c>
      <c r="AO652" s="17" t="s">
        <v>8133</v>
      </c>
      <c r="AP652" s="17" t="s">
        <v>8134</v>
      </c>
      <c r="AQ652" s="17" t="s">
        <v>425</v>
      </c>
      <c r="AR652" s="17" t="s">
        <v>8135</v>
      </c>
      <c r="AS652" s="17" t="s">
        <v>8136</v>
      </c>
      <c r="AT652" s="17"/>
      <c r="AU652" s="30" t="s">
        <v>8137</v>
      </c>
      <c r="AV652" s="14">
        <v>11820</v>
      </c>
      <c r="AW652" s="74"/>
      <c r="AX652" s="1"/>
      <c r="AY652" s="17" t="s">
        <v>101</v>
      </c>
    </row>
    <row r="653" spans="1:51" ht="12.75" customHeight="1" x14ac:dyDescent="0.25">
      <c r="A653" s="5">
        <v>633</v>
      </c>
      <c r="B653" s="9">
        <v>633</v>
      </c>
      <c r="C653" s="9" t="s">
        <v>8138</v>
      </c>
      <c r="D653" s="57" t="str">
        <f>HYPERLINK("http://prodenv.dep.state.fl.us/DepNexus/public/electronic-documents/OG_633/facility!search","OG_633_Docs")</f>
        <v>OG_633_Docs</v>
      </c>
      <c r="E653" s="57" t="str">
        <f>HYPERLINK("https://ca.dep.state.fl.us/mapdirect/?focus=oilandgas&amp;zoom=query&amp;querytype=oilandgas&amp;queryvalues=OG_633","OG_633_Map")</f>
        <v>OG_633_Map</v>
      </c>
      <c r="F653" s="1" t="s">
        <v>1752</v>
      </c>
      <c r="G653" s="1" t="s">
        <v>79</v>
      </c>
      <c r="H653" s="1" t="s">
        <v>6141</v>
      </c>
      <c r="I653" s="1" t="s">
        <v>8139</v>
      </c>
      <c r="J653" s="17" t="s">
        <v>82</v>
      </c>
      <c r="K653" s="17" t="s">
        <v>83</v>
      </c>
      <c r="L653" s="17"/>
      <c r="M653" s="17"/>
      <c r="N653" s="52" t="s">
        <v>4735</v>
      </c>
      <c r="O653" s="17" t="s">
        <v>86</v>
      </c>
      <c r="P653" s="17" t="s">
        <v>86</v>
      </c>
      <c r="Q653" s="81" t="s">
        <v>8140</v>
      </c>
      <c r="R653" s="11">
        <v>26.530486</v>
      </c>
      <c r="S653" s="11">
        <v>-81.479983000000004</v>
      </c>
      <c r="T653" s="11" t="s">
        <v>8141</v>
      </c>
      <c r="U653" s="11" t="s">
        <v>8142</v>
      </c>
      <c r="V653" s="17" t="s">
        <v>8143</v>
      </c>
      <c r="W653" s="17" t="s">
        <v>110</v>
      </c>
      <c r="X653" s="70">
        <v>52.4</v>
      </c>
      <c r="Y653" s="70">
        <v>37.6</v>
      </c>
      <c r="Z653" s="13">
        <v>26667</v>
      </c>
      <c r="AA653" s="13">
        <v>26668</v>
      </c>
      <c r="AB653" s="13"/>
      <c r="AC653" s="13">
        <v>26701</v>
      </c>
      <c r="AD653" s="86">
        <v>11690</v>
      </c>
      <c r="AE653" s="86">
        <v>11690</v>
      </c>
      <c r="AF653" s="70" t="s">
        <v>8144</v>
      </c>
      <c r="AG653" s="17" t="s">
        <v>8145</v>
      </c>
      <c r="AH653" s="17" t="s">
        <v>8146</v>
      </c>
      <c r="AI653" s="70" t="s">
        <v>94</v>
      </c>
      <c r="AJ653" s="17" t="s">
        <v>94</v>
      </c>
      <c r="AK653" s="17" t="s">
        <v>95</v>
      </c>
      <c r="AL653" s="17" t="s">
        <v>95</v>
      </c>
      <c r="AM653" s="17" t="s">
        <v>94</v>
      </c>
      <c r="AN653" s="17" t="s">
        <v>94</v>
      </c>
      <c r="AO653" s="17" t="s">
        <v>98</v>
      </c>
      <c r="AP653" s="17" t="s">
        <v>98</v>
      </c>
      <c r="AQ653" s="17" t="s">
        <v>98</v>
      </c>
      <c r="AR653" s="17" t="s">
        <v>94</v>
      </c>
      <c r="AS653" s="17" t="s">
        <v>8147</v>
      </c>
      <c r="AT653" s="17"/>
      <c r="AU653" s="30" t="s">
        <v>8148</v>
      </c>
      <c r="AV653" s="14">
        <v>11764</v>
      </c>
      <c r="AW653" s="74"/>
      <c r="AX653" s="1"/>
      <c r="AY653" s="17" t="s">
        <v>101</v>
      </c>
    </row>
    <row r="654" spans="1:51" ht="15" customHeight="1" x14ac:dyDescent="0.25">
      <c r="A654" s="5">
        <v>634</v>
      </c>
      <c r="B654" s="9">
        <v>634</v>
      </c>
      <c r="C654" s="9" t="s">
        <v>8149</v>
      </c>
      <c r="D654" s="57" t="str">
        <f>HYPERLINK("http://prodenv.dep.state.fl.us/DepNexus/public/electronic-documents/OG_634/facility!search","OG_634_Docs")</f>
        <v>OG_634_Docs</v>
      </c>
      <c r="E654" s="57" t="str">
        <f>HYPERLINK("https://ca.dep.state.fl.us/mapdirect/?focus=oilandgas&amp;zoom=query&amp;querytype=oilandgas&amp;queryvalues=OG_634","OG_634_Map")</f>
        <v>OG_634_Map</v>
      </c>
      <c r="F654" s="1" t="s">
        <v>1797</v>
      </c>
      <c r="G654" s="1" t="s">
        <v>5133</v>
      </c>
      <c r="H654" s="1" t="s">
        <v>176</v>
      </c>
      <c r="I654" s="1" t="s">
        <v>8150</v>
      </c>
      <c r="J654" s="17" t="s">
        <v>207</v>
      </c>
      <c r="K654" s="17" t="s">
        <v>208</v>
      </c>
      <c r="L654" s="17"/>
      <c r="M654" s="17" t="s">
        <v>207</v>
      </c>
      <c r="N654" s="52" t="s">
        <v>86</v>
      </c>
      <c r="O654" s="17" t="s">
        <v>86</v>
      </c>
      <c r="P654" s="17" t="s">
        <v>86</v>
      </c>
      <c r="Q654" s="81" t="s">
        <v>8151</v>
      </c>
      <c r="R654" s="11">
        <v>30.915458999999998</v>
      </c>
      <c r="S654" s="11">
        <v>-87.150620000000004</v>
      </c>
      <c r="T654" s="11" t="s">
        <v>8152</v>
      </c>
      <c r="U654" s="11" t="s">
        <v>8153</v>
      </c>
      <c r="V654" s="17" t="s">
        <v>8154</v>
      </c>
      <c r="W654" s="17" t="s">
        <v>110</v>
      </c>
      <c r="X654" s="70"/>
      <c r="Y654" s="70"/>
      <c r="Z654" s="13">
        <v>26680</v>
      </c>
      <c r="AA654" s="13"/>
      <c r="AB654" s="13"/>
      <c r="AC654" s="13"/>
      <c r="AD654" s="86"/>
      <c r="AE654" s="70"/>
      <c r="AF654" s="70" t="s">
        <v>207</v>
      </c>
      <c r="AG654" s="14" t="s">
        <v>207</v>
      </c>
      <c r="AH654" s="14" t="s">
        <v>207</v>
      </c>
      <c r="AI654" s="70" t="s">
        <v>207</v>
      </c>
      <c r="AJ654" s="14" t="s">
        <v>207</v>
      </c>
      <c r="AK654" s="14" t="s">
        <v>207</v>
      </c>
      <c r="AL654" s="14" t="s">
        <v>207</v>
      </c>
      <c r="AM654" s="14" t="s">
        <v>207</v>
      </c>
      <c r="AN654" s="14" t="s">
        <v>207</v>
      </c>
      <c r="AO654" s="14" t="s">
        <v>207</v>
      </c>
      <c r="AP654" s="14" t="s">
        <v>207</v>
      </c>
      <c r="AQ654" s="14" t="s">
        <v>207</v>
      </c>
      <c r="AR654" s="14" t="s">
        <v>207</v>
      </c>
      <c r="AS654" s="14" t="s">
        <v>207</v>
      </c>
      <c r="AT654" s="14" t="s">
        <v>207</v>
      </c>
      <c r="AU654" s="30" t="s">
        <v>8155</v>
      </c>
      <c r="AV654" s="14" t="s">
        <v>207</v>
      </c>
      <c r="AW654" s="74"/>
      <c r="AX654" s="1"/>
      <c r="AY654" s="17" t="s">
        <v>101</v>
      </c>
    </row>
    <row r="655" spans="1:51" ht="12.75" customHeight="1" x14ac:dyDescent="0.25">
      <c r="A655" s="5">
        <v>634.1</v>
      </c>
      <c r="B655" s="9" t="s">
        <v>8156</v>
      </c>
      <c r="C655" s="9" t="s">
        <v>8149</v>
      </c>
      <c r="D655" s="57" t="str">
        <f>HYPERLINK("http://prodenv.dep.state.fl.us/DepNexus/public/electronic-documents/OG_634/facility!search","OG_634_Docs")</f>
        <v>OG_634_Docs</v>
      </c>
      <c r="E655" s="57" t="str">
        <f>HYPERLINK("https://ca.dep.state.fl.us/mapdirect/?focus=oilandgas&amp;zoom=query&amp;querytype=oilandgas&amp;queryvalues=OG_634","OG_634_Map")</f>
        <v>OG_634_Map</v>
      </c>
      <c r="F655" s="1" t="s">
        <v>1797</v>
      </c>
      <c r="G655" s="1" t="s">
        <v>5133</v>
      </c>
      <c r="H655" s="1" t="s">
        <v>176</v>
      </c>
      <c r="I655" s="1" t="s">
        <v>8150</v>
      </c>
      <c r="J655" s="17" t="s">
        <v>207</v>
      </c>
      <c r="K655" s="17" t="s">
        <v>208</v>
      </c>
      <c r="L655" s="17"/>
      <c r="M655" s="17" t="s">
        <v>207</v>
      </c>
      <c r="N655" s="52" t="s">
        <v>86</v>
      </c>
      <c r="O655" s="17" t="s">
        <v>86</v>
      </c>
      <c r="P655" s="17" t="s">
        <v>86</v>
      </c>
      <c r="Q655" s="81" t="s">
        <v>8151</v>
      </c>
      <c r="R655" s="11">
        <v>30.915458999999998</v>
      </c>
      <c r="S655" s="11">
        <v>-87.150620000000004</v>
      </c>
      <c r="T655" s="11" t="s">
        <v>8152</v>
      </c>
      <c r="U655" s="11" t="s">
        <v>8153</v>
      </c>
      <c r="V655" s="17" t="s">
        <v>8154</v>
      </c>
      <c r="W655" s="17" t="s">
        <v>110</v>
      </c>
      <c r="X655" s="70"/>
      <c r="Y655" s="70"/>
      <c r="Z655" s="13">
        <v>26862</v>
      </c>
      <c r="AA655" s="13"/>
      <c r="AB655" s="13"/>
      <c r="AC655" s="13"/>
      <c r="AD655" s="86"/>
      <c r="AE655" s="70"/>
      <c r="AF655" s="70" t="s">
        <v>207</v>
      </c>
      <c r="AG655" s="14" t="s">
        <v>207</v>
      </c>
      <c r="AH655" s="14" t="s">
        <v>207</v>
      </c>
      <c r="AI655" s="70" t="s">
        <v>207</v>
      </c>
      <c r="AJ655" s="14" t="s">
        <v>207</v>
      </c>
      <c r="AK655" s="14" t="s">
        <v>207</v>
      </c>
      <c r="AL655" s="14" t="s">
        <v>207</v>
      </c>
      <c r="AM655" s="14" t="s">
        <v>207</v>
      </c>
      <c r="AN655" s="14" t="s">
        <v>207</v>
      </c>
      <c r="AO655" s="14" t="s">
        <v>207</v>
      </c>
      <c r="AP655" s="14" t="s">
        <v>207</v>
      </c>
      <c r="AQ655" s="14" t="s">
        <v>207</v>
      </c>
      <c r="AR655" s="14" t="s">
        <v>207</v>
      </c>
      <c r="AS655" s="14" t="s">
        <v>207</v>
      </c>
      <c r="AT655" s="14" t="s">
        <v>207</v>
      </c>
      <c r="AU655" s="30" t="s">
        <v>8157</v>
      </c>
      <c r="AV655" s="14" t="s">
        <v>207</v>
      </c>
      <c r="AW655" s="74"/>
      <c r="AX655" s="1" t="s">
        <v>8158</v>
      </c>
      <c r="AY655" s="17" t="s">
        <v>101</v>
      </c>
    </row>
    <row r="656" spans="1:51" ht="12.75" customHeight="1" x14ac:dyDescent="0.25">
      <c r="A656" s="5">
        <v>635</v>
      </c>
      <c r="B656" s="9">
        <v>635</v>
      </c>
      <c r="C656" s="9" t="s">
        <v>8159</v>
      </c>
      <c r="D656" s="57" t="str">
        <f>HYPERLINK("http://prodenv.dep.state.fl.us/DepNexus/public/electronic-documents/OG_635/facility!search","OG_635_Docs")</f>
        <v>OG_635_Docs</v>
      </c>
      <c r="E656" s="57" t="str">
        <f>HYPERLINK("https://ca.dep.state.fl.us/mapdirect/?focus=oilandgas&amp;zoom=query&amp;querytype=oilandgas&amp;queryvalues=OG_635","OG_635_Map")</f>
        <v>OG_635_Map</v>
      </c>
      <c r="F656" s="1" t="s">
        <v>1797</v>
      </c>
      <c r="G656" s="1" t="s">
        <v>5133</v>
      </c>
      <c r="H656" s="1" t="s">
        <v>6837</v>
      </c>
      <c r="I656" s="1" t="s">
        <v>8160</v>
      </c>
      <c r="J656" s="17" t="s">
        <v>268</v>
      </c>
      <c r="K656" s="17" t="s">
        <v>2105</v>
      </c>
      <c r="L656" s="17"/>
      <c r="M656" s="17"/>
      <c r="N656" s="52" t="s">
        <v>8161</v>
      </c>
      <c r="O656" s="17" t="s">
        <v>86</v>
      </c>
      <c r="P656" s="17" t="s">
        <v>86</v>
      </c>
      <c r="Q656" s="81" t="s">
        <v>8162</v>
      </c>
      <c r="R656" s="11">
        <v>30.930358999999999</v>
      </c>
      <c r="S656" s="11">
        <v>-87.166770999999997</v>
      </c>
      <c r="T656" s="11" t="s">
        <v>8163</v>
      </c>
      <c r="U656" s="11" t="s">
        <v>8164</v>
      </c>
      <c r="V656" s="17" t="s">
        <v>8165</v>
      </c>
      <c r="W656" s="17" t="s">
        <v>110</v>
      </c>
      <c r="X656" s="70">
        <v>283</v>
      </c>
      <c r="Y656" s="70">
        <v>263</v>
      </c>
      <c r="Z656" s="13">
        <v>26680</v>
      </c>
      <c r="AA656" s="13">
        <v>26826</v>
      </c>
      <c r="AB656" s="13">
        <v>26906</v>
      </c>
      <c r="AC656" s="13">
        <v>32471</v>
      </c>
      <c r="AD656" s="86">
        <v>15850</v>
      </c>
      <c r="AE656" s="86">
        <v>15850</v>
      </c>
      <c r="AF656" s="70" t="s">
        <v>1445</v>
      </c>
      <c r="AG656" s="23" t="s">
        <v>8166</v>
      </c>
      <c r="AH656" s="23" t="s">
        <v>94</v>
      </c>
      <c r="AI656" s="70" t="s">
        <v>8167</v>
      </c>
      <c r="AJ656" s="17" t="s">
        <v>8168</v>
      </c>
      <c r="AK656" s="17" t="s">
        <v>94</v>
      </c>
      <c r="AL656" s="17" t="s">
        <v>8169</v>
      </c>
      <c r="AM656" s="17" t="s">
        <v>94</v>
      </c>
      <c r="AN656" s="23" t="s">
        <v>94</v>
      </c>
      <c r="AO656" s="17" t="s">
        <v>8170</v>
      </c>
      <c r="AP656" s="17" t="s">
        <v>8171</v>
      </c>
      <c r="AQ656" s="17" t="s">
        <v>8172</v>
      </c>
      <c r="AR656" s="17" t="s">
        <v>8173</v>
      </c>
      <c r="AS656" s="17" t="s">
        <v>8174</v>
      </c>
      <c r="AT656" s="17"/>
      <c r="AU656" s="30" t="s">
        <v>8175</v>
      </c>
      <c r="AV656" s="14">
        <v>12017</v>
      </c>
      <c r="AW656" s="74"/>
      <c r="AX656" s="1"/>
      <c r="AY656" s="17" t="s">
        <v>101</v>
      </c>
    </row>
    <row r="657" spans="1:51" ht="12.75" customHeight="1" x14ac:dyDescent="0.25">
      <c r="A657" s="5">
        <v>636</v>
      </c>
      <c r="B657" s="9">
        <v>636</v>
      </c>
      <c r="C657" s="9" t="s">
        <v>8176</v>
      </c>
      <c r="D657" s="57" t="str">
        <f>HYPERLINK("http://prodenv.dep.state.fl.us/DepNexus/public/electronic-documents/OG_636/facility!search","OG_636_Docs")</f>
        <v>OG_636_Docs</v>
      </c>
      <c r="E657" s="57" t="str">
        <f>HYPERLINK("https://ca.dep.state.fl.us/mapdirect/?focus=oilandgas&amp;zoom=query&amp;querytype=oilandgas&amp;queryvalues=OG_636","OG_636_Map")</f>
        <v>OG_636_Map</v>
      </c>
      <c r="F657" s="1" t="s">
        <v>1797</v>
      </c>
      <c r="G657" s="1" t="s">
        <v>6648</v>
      </c>
      <c r="H657" s="1" t="s">
        <v>6668</v>
      </c>
      <c r="I657" s="1" t="s">
        <v>8177</v>
      </c>
      <c r="J657" s="17" t="s">
        <v>1476</v>
      </c>
      <c r="K657" s="17" t="s">
        <v>412</v>
      </c>
      <c r="L657" s="17"/>
      <c r="M657" s="17"/>
      <c r="N657" s="52" t="s">
        <v>6529</v>
      </c>
      <c r="O657" s="17" t="s">
        <v>86</v>
      </c>
      <c r="P657" s="17" t="s">
        <v>86</v>
      </c>
      <c r="Q657" s="81" t="s">
        <v>8178</v>
      </c>
      <c r="R657" s="11">
        <v>30.84498</v>
      </c>
      <c r="S657" s="11">
        <v>-87.088791999999998</v>
      </c>
      <c r="T657" s="11" t="s">
        <v>8179</v>
      </c>
      <c r="U657" s="11" t="s">
        <v>8180</v>
      </c>
      <c r="V657" s="17" t="s">
        <v>8181</v>
      </c>
      <c r="W657" s="17" t="s">
        <v>110</v>
      </c>
      <c r="X657" s="70">
        <v>110.5</v>
      </c>
      <c r="Y657" s="70">
        <v>90</v>
      </c>
      <c r="Z657" s="13">
        <v>26680</v>
      </c>
      <c r="AA657" s="13">
        <v>26733</v>
      </c>
      <c r="AB657" s="13">
        <v>27704</v>
      </c>
      <c r="AC657" s="13">
        <v>45780</v>
      </c>
      <c r="AD657" s="86">
        <v>16190</v>
      </c>
      <c r="AE657" s="86">
        <v>16190</v>
      </c>
      <c r="AF657" s="71" t="s">
        <v>3172</v>
      </c>
      <c r="AG657" s="17" t="s">
        <v>8182</v>
      </c>
      <c r="AH657" s="23" t="s">
        <v>94</v>
      </c>
      <c r="AI657" s="70" t="s">
        <v>8183</v>
      </c>
      <c r="AJ657" s="17" t="s">
        <v>8184</v>
      </c>
      <c r="AK657" s="17" t="s">
        <v>94</v>
      </c>
      <c r="AL657" s="17" t="s">
        <v>8185</v>
      </c>
      <c r="AM657" s="17" t="s">
        <v>95</v>
      </c>
      <c r="AN657" s="23" t="s">
        <v>94</v>
      </c>
      <c r="AO657" s="17" t="s">
        <v>8186</v>
      </c>
      <c r="AP657" s="17" t="s">
        <v>8187</v>
      </c>
      <c r="AQ657" s="17" t="s">
        <v>6496</v>
      </c>
      <c r="AR657" s="17" t="s">
        <v>8188</v>
      </c>
      <c r="AS657" s="17" t="s">
        <v>8189</v>
      </c>
      <c r="AT657" s="17"/>
      <c r="AU657" s="30" t="s">
        <v>8190</v>
      </c>
      <c r="AV657" s="14">
        <v>11831</v>
      </c>
      <c r="AW657" s="74">
        <v>303043</v>
      </c>
      <c r="AX657" s="1"/>
      <c r="AY657" s="17" t="s">
        <v>101</v>
      </c>
    </row>
    <row r="658" spans="1:51" ht="15" customHeight="1" x14ac:dyDescent="0.25">
      <c r="A658" s="5">
        <v>637</v>
      </c>
      <c r="B658" s="9">
        <v>637</v>
      </c>
      <c r="C658" s="9" t="s">
        <v>8191</v>
      </c>
      <c r="D658" s="57" t="str">
        <f>HYPERLINK("http://prodenv.dep.state.fl.us/DepNexus/public/electronic-documents/OG_637/facility!search","OG_637_Docs")</f>
        <v>OG_637_Docs</v>
      </c>
      <c r="E658" s="57" t="str">
        <f>HYPERLINK("https://ca.dep.state.fl.us/mapdirect/?focus=oilandgas&amp;zoom=query&amp;querytype=oilandgas&amp;queryvalues=OG_637","OG_637_Map")</f>
        <v>OG_637_Map</v>
      </c>
      <c r="F658" s="1" t="s">
        <v>1797</v>
      </c>
      <c r="G658" s="1" t="s">
        <v>79</v>
      </c>
      <c r="H658" s="1" t="s">
        <v>5605</v>
      </c>
      <c r="I658" s="1" t="s">
        <v>8192</v>
      </c>
      <c r="J658" s="17" t="s">
        <v>82</v>
      </c>
      <c r="K658" s="17" t="s">
        <v>83</v>
      </c>
      <c r="L658" s="17"/>
      <c r="M658" s="17"/>
      <c r="N658" s="52" t="s">
        <v>7568</v>
      </c>
      <c r="O658" s="17" t="s">
        <v>86</v>
      </c>
      <c r="P658" s="17" t="s">
        <v>86</v>
      </c>
      <c r="Q658" s="81" t="s">
        <v>8193</v>
      </c>
      <c r="R658" s="11">
        <v>30.875111</v>
      </c>
      <c r="S658" s="11">
        <v>-87.078568000000004</v>
      </c>
      <c r="T658" s="11" t="s">
        <v>8194</v>
      </c>
      <c r="U658" s="11" t="s">
        <v>8195</v>
      </c>
      <c r="V658" s="17" t="s">
        <v>8196</v>
      </c>
      <c r="W658" s="23" t="s">
        <v>8197</v>
      </c>
      <c r="X658" s="70">
        <v>161.30000000000001</v>
      </c>
      <c r="Y658" s="70">
        <v>133.80000000000001</v>
      </c>
      <c r="Z658" s="13">
        <v>26680</v>
      </c>
      <c r="AA658" s="13">
        <v>26690</v>
      </c>
      <c r="AB658" s="13"/>
      <c r="AC658" s="13">
        <v>26757</v>
      </c>
      <c r="AD658" s="86">
        <v>15720</v>
      </c>
      <c r="AE658" s="86">
        <v>15720</v>
      </c>
      <c r="AF658" s="71" t="s">
        <v>1921</v>
      </c>
      <c r="AG658" s="23" t="s">
        <v>8198</v>
      </c>
      <c r="AH658" s="23" t="s">
        <v>94</v>
      </c>
      <c r="AI658" s="71" t="s">
        <v>94</v>
      </c>
      <c r="AJ658" s="23" t="s">
        <v>94</v>
      </c>
      <c r="AK658" s="17" t="s">
        <v>95</v>
      </c>
      <c r="AL658" s="17" t="s">
        <v>8199</v>
      </c>
      <c r="AM658" s="17" t="s">
        <v>94</v>
      </c>
      <c r="AN658" s="23" t="s">
        <v>94</v>
      </c>
      <c r="AO658" s="17" t="s">
        <v>98</v>
      </c>
      <c r="AP658" s="17" t="s">
        <v>98</v>
      </c>
      <c r="AQ658" s="17" t="s">
        <v>98</v>
      </c>
      <c r="AR658" s="23" t="s">
        <v>94</v>
      </c>
      <c r="AS658" s="23" t="s">
        <v>8200</v>
      </c>
      <c r="AT658" s="17"/>
      <c r="AU658" s="30" t="s">
        <v>8201</v>
      </c>
      <c r="AV658" s="14">
        <v>11819</v>
      </c>
      <c r="AW658" s="74"/>
      <c r="AX658" s="1"/>
      <c r="AY658" s="17" t="s">
        <v>101</v>
      </c>
    </row>
    <row r="659" spans="1:51" ht="15" customHeight="1" x14ac:dyDescent="0.25">
      <c r="A659" s="5">
        <v>638</v>
      </c>
      <c r="B659" s="9">
        <v>638</v>
      </c>
      <c r="C659" s="9" t="s">
        <v>8202</v>
      </c>
      <c r="D659" s="57" t="str">
        <f>HYPERLINK("http://prodenv.dep.state.fl.us/DepNexus/public/electronic-documents/OG_638/facility!search","OG_638_Docs")</f>
        <v>OG_638_Docs</v>
      </c>
      <c r="E659" s="57" t="str">
        <f>HYPERLINK("https://ca.dep.state.fl.us/mapdirect/?focus=oilandgas&amp;zoom=query&amp;querytype=oilandgas&amp;queryvalues=OG_638","OG_638_Map")</f>
        <v>OG_638_Map</v>
      </c>
      <c r="F659" s="1" t="s">
        <v>1797</v>
      </c>
      <c r="G659" s="1" t="s">
        <v>79</v>
      </c>
      <c r="H659" s="1" t="s">
        <v>5605</v>
      </c>
      <c r="I659" s="1" t="s">
        <v>8203</v>
      </c>
      <c r="J659" s="17" t="s">
        <v>207</v>
      </c>
      <c r="K659" s="17" t="s">
        <v>208</v>
      </c>
      <c r="L659" s="17"/>
      <c r="M659" s="17" t="s">
        <v>207</v>
      </c>
      <c r="N659" s="52" t="s">
        <v>86</v>
      </c>
      <c r="O659" s="17" t="s">
        <v>86</v>
      </c>
      <c r="P659" s="17" t="s">
        <v>86</v>
      </c>
      <c r="Q659" s="81" t="s">
        <v>8204</v>
      </c>
      <c r="R659" s="11">
        <v>30.852969000000002</v>
      </c>
      <c r="S659" s="11">
        <v>-87.062565000000006</v>
      </c>
      <c r="T659" s="11" t="s">
        <v>8205</v>
      </c>
      <c r="U659" s="11" t="s">
        <v>8206</v>
      </c>
      <c r="V659" s="17" t="s">
        <v>8207</v>
      </c>
      <c r="W659" s="17" t="s">
        <v>110</v>
      </c>
      <c r="X659" s="71"/>
      <c r="Y659" s="71"/>
      <c r="Z659" s="13">
        <v>26680</v>
      </c>
      <c r="AA659" s="26"/>
      <c r="AB659" s="26"/>
      <c r="AC659" s="26"/>
      <c r="AD659" s="86"/>
      <c r="AE659" s="71"/>
      <c r="AF659" s="71" t="s">
        <v>207</v>
      </c>
      <c r="AG659" s="27" t="s">
        <v>207</v>
      </c>
      <c r="AH659" s="27" t="s">
        <v>207</v>
      </c>
      <c r="AI659" s="71" t="s">
        <v>207</v>
      </c>
      <c r="AJ659" s="27" t="s">
        <v>207</v>
      </c>
      <c r="AK659" s="27" t="s">
        <v>207</v>
      </c>
      <c r="AL659" s="27" t="s">
        <v>207</v>
      </c>
      <c r="AM659" s="27" t="s">
        <v>207</v>
      </c>
      <c r="AN659" s="27" t="s">
        <v>207</v>
      </c>
      <c r="AO659" s="27" t="s">
        <v>207</v>
      </c>
      <c r="AP659" s="27" t="s">
        <v>207</v>
      </c>
      <c r="AQ659" s="27" t="s">
        <v>207</v>
      </c>
      <c r="AR659" s="27" t="s">
        <v>207</v>
      </c>
      <c r="AS659" s="27" t="s">
        <v>207</v>
      </c>
      <c r="AT659" s="27" t="s">
        <v>207</v>
      </c>
      <c r="AU659" s="30" t="s">
        <v>8208</v>
      </c>
      <c r="AV659" s="27" t="s">
        <v>207</v>
      </c>
      <c r="AW659" s="74"/>
      <c r="AX659" s="1"/>
      <c r="AY659" s="17" t="s">
        <v>101</v>
      </c>
    </row>
    <row r="660" spans="1:51" ht="12.75" customHeight="1" x14ac:dyDescent="0.25">
      <c r="A660" s="5">
        <v>639</v>
      </c>
      <c r="B660" s="9">
        <v>639</v>
      </c>
      <c r="C660" s="9" t="s">
        <v>8209</v>
      </c>
      <c r="D660" s="57" t="str">
        <f>HYPERLINK("http://prodenv.dep.state.fl.us/DepNexus/public/electronic-documents/OG_639/facility!search","OG_639_Docs")</f>
        <v>OG_639_Docs</v>
      </c>
      <c r="E660" s="57" t="str">
        <f>HYPERLINK("https://ca.dep.state.fl.us/mapdirect/?focus=oilandgas&amp;zoom=query&amp;querytype=oilandgas&amp;queryvalues=OG_639","OG_639_Map")</f>
        <v>OG_639_Map</v>
      </c>
      <c r="F660" s="1" t="s">
        <v>1797</v>
      </c>
      <c r="G660" s="1" t="s">
        <v>79</v>
      </c>
      <c r="H660" s="1" t="s">
        <v>6515</v>
      </c>
      <c r="I660" s="1" t="s">
        <v>8210</v>
      </c>
      <c r="J660" s="17" t="s">
        <v>82</v>
      </c>
      <c r="K660" s="17" t="s">
        <v>83</v>
      </c>
      <c r="L660" s="17"/>
      <c r="M660" s="17"/>
      <c r="N660" s="52" t="s">
        <v>5949</v>
      </c>
      <c r="O660" s="17" t="s">
        <v>86</v>
      </c>
      <c r="P660" s="17" t="s">
        <v>86</v>
      </c>
      <c r="Q660" s="81" t="s">
        <v>8211</v>
      </c>
      <c r="R660" s="11">
        <v>30.790977999999999</v>
      </c>
      <c r="S660" s="11">
        <v>-87.190276999999995</v>
      </c>
      <c r="T660" s="11" t="s">
        <v>8212</v>
      </c>
      <c r="U660" s="11" t="s">
        <v>8213</v>
      </c>
      <c r="V660" s="17" t="s">
        <v>8214</v>
      </c>
      <c r="W660" s="17" t="s">
        <v>110</v>
      </c>
      <c r="X660" s="70">
        <v>223</v>
      </c>
      <c r="Y660" s="70">
        <v>190</v>
      </c>
      <c r="Z660" s="13">
        <v>26680</v>
      </c>
      <c r="AA660" s="13">
        <v>26705</v>
      </c>
      <c r="AB660" s="13">
        <v>27039</v>
      </c>
      <c r="AC660" s="13">
        <v>27039</v>
      </c>
      <c r="AD660" s="86">
        <v>17150</v>
      </c>
      <c r="AE660" s="86">
        <v>17150</v>
      </c>
      <c r="AF660" s="70" t="s">
        <v>6803</v>
      </c>
      <c r="AG660" s="17" t="s">
        <v>8215</v>
      </c>
      <c r="AH660" s="17" t="s">
        <v>94</v>
      </c>
      <c r="AI660" s="70" t="s">
        <v>94</v>
      </c>
      <c r="AJ660" s="17" t="s">
        <v>94</v>
      </c>
      <c r="AK660" s="17" t="s">
        <v>95</v>
      </c>
      <c r="AL660" s="17" t="s">
        <v>8216</v>
      </c>
      <c r="AM660" s="17" t="s">
        <v>95</v>
      </c>
      <c r="AN660" s="17" t="s">
        <v>94</v>
      </c>
      <c r="AO660" s="17" t="s">
        <v>98</v>
      </c>
      <c r="AP660" s="17" t="s">
        <v>98</v>
      </c>
      <c r="AQ660" s="17" t="s">
        <v>98</v>
      </c>
      <c r="AR660" s="17" t="s">
        <v>94</v>
      </c>
      <c r="AS660" s="17" t="s">
        <v>8217</v>
      </c>
      <c r="AT660" s="17">
        <v>298</v>
      </c>
      <c r="AU660" s="30" t="s">
        <v>8218</v>
      </c>
      <c r="AV660" s="14">
        <v>11818</v>
      </c>
      <c r="AW660" s="74"/>
      <c r="AX660" s="1"/>
      <c r="AY660" s="17" t="s">
        <v>101</v>
      </c>
    </row>
    <row r="661" spans="1:51" ht="12.75" customHeight="1" x14ac:dyDescent="0.25">
      <c r="A661" s="5">
        <v>640</v>
      </c>
      <c r="B661" s="9">
        <v>640</v>
      </c>
      <c r="C661" s="9" t="s">
        <v>8219</v>
      </c>
      <c r="D661" s="57" t="str">
        <f>HYPERLINK("http://prodenv.dep.state.fl.us/DepNexus/public/electronic-documents/OG_640/facility!search","OG_640_Docs")</f>
        <v>OG_640_Docs</v>
      </c>
      <c r="E661" s="57" t="str">
        <f>HYPERLINK("https://ca.dep.state.fl.us/mapdirect/?focus=oilandgas&amp;zoom=query&amp;querytype=oilandgas&amp;queryvalues=OG_640","OG_640_Map")</f>
        <v>OG_640_Map</v>
      </c>
      <c r="F661" s="1" t="s">
        <v>265</v>
      </c>
      <c r="G661" s="1" t="s">
        <v>7239</v>
      </c>
      <c r="H661" s="1" t="s">
        <v>3624</v>
      </c>
      <c r="I661" s="1" t="s">
        <v>8220</v>
      </c>
      <c r="J661" s="17" t="s">
        <v>268</v>
      </c>
      <c r="K661" s="17" t="s">
        <v>412</v>
      </c>
      <c r="L661" s="17"/>
      <c r="M661" s="17"/>
      <c r="N661" s="52" t="s">
        <v>86</v>
      </c>
      <c r="O661" s="17" t="s">
        <v>270</v>
      </c>
      <c r="P661" s="17" t="s">
        <v>3395</v>
      </c>
      <c r="Q661" s="81" t="s">
        <v>8221</v>
      </c>
      <c r="R661" s="11">
        <v>26.232396000000001</v>
      </c>
      <c r="S661" s="11">
        <v>-81.281209000000004</v>
      </c>
      <c r="T661" s="11" t="s">
        <v>8222</v>
      </c>
      <c r="U661" s="11" t="s">
        <v>8223</v>
      </c>
      <c r="V661" s="17" t="s">
        <v>8224</v>
      </c>
      <c r="W661" s="17" t="s">
        <v>110</v>
      </c>
      <c r="X661" s="70">
        <v>34</v>
      </c>
      <c r="Y661" s="70">
        <v>16</v>
      </c>
      <c r="Z661" s="13">
        <v>26680</v>
      </c>
      <c r="AA661" s="13">
        <v>26832</v>
      </c>
      <c r="AB661" s="13">
        <v>27029</v>
      </c>
      <c r="AC661" s="13">
        <v>36908</v>
      </c>
      <c r="AD661" s="86">
        <v>11896</v>
      </c>
      <c r="AE661" s="86">
        <v>11896</v>
      </c>
      <c r="AF661" s="70" t="s">
        <v>5190</v>
      </c>
      <c r="AG661" s="17" t="s">
        <v>8225</v>
      </c>
      <c r="AH661" s="17" t="s">
        <v>8226</v>
      </c>
      <c r="AI661" s="70" t="s">
        <v>8227</v>
      </c>
      <c r="AJ661" s="17" t="s">
        <v>8228</v>
      </c>
      <c r="AK661" s="17" t="s">
        <v>95</v>
      </c>
      <c r="AL661" s="23" t="s">
        <v>8229</v>
      </c>
      <c r="AM661" s="23" t="s">
        <v>94</v>
      </c>
      <c r="AN661" s="17" t="s">
        <v>86</v>
      </c>
      <c r="AO661" s="17" t="s">
        <v>8230</v>
      </c>
      <c r="AP661" s="17" t="s">
        <v>8231</v>
      </c>
      <c r="AQ661" s="17" t="s">
        <v>7264</v>
      </c>
      <c r="AR661" s="17" t="s">
        <v>8232</v>
      </c>
      <c r="AS661" s="23" t="s">
        <v>8233</v>
      </c>
      <c r="AT661" s="17">
        <v>198</v>
      </c>
      <c r="AU661" s="30" t="s">
        <v>8234</v>
      </c>
      <c r="AV661" s="14">
        <v>12043</v>
      </c>
      <c r="AW661" s="74"/>
      <c r="AX661" s="1"/>
      <c r="AY661" s="17" t="s">
        <v>101</v>
      </c>
    </row>
    <row r="662" spans="1:51" ht="12.75" customHeight="1" x14ac:dyDescent="0.25">
      <c r="A662" s="5">
        <v>641</v>
      </c>
      <c r="B662" s="9">
        <v>641</v>
      </c>
      <c r="C662" s="9" t="s">
        <v>8235</v>
      </c>
      <c r="D662" s="57" t="str">
        <f>HYPERLINK("http://prodenv.dep.state.fl.us/DepNexus/public/electronic-documents/OG_641/facility!search","OG_641_Docs")</f>
        <v>OG_641_Docs</v>
      </c>
      <c r="E662" s="57" t="str">
        <f>HYPERLINK("https://ca.dep.state.fl.us/mapdirect/?focus=oilandgas&amp;zoom=query&amp;querytype=oilandgas&amp;queryvalues=OG_641","OG_641_Map")</f>
        <v>OG_641_Map</v>
      </c>
      <c r="F662" s="1" t="s">
        <v>265</v>
      </c>
      <c r="G662" s="1" t="s">
        <v>7239</v>
      </c>
      <c r="H662" s="1" t="s">
        <v>176</v>
      </c>
      <c r="I662" s="1" t="s">
        <v>8236</v>
      </c>
      <c r="J662" s="17" t="s">
        <v>268</v>
      </c>
      <c r="K662" s="17" t="s">
        <v>412</v>
      </c>
      <c r="L662" s="17"/>
      <c r="M662" s="17"/>
      <c r="N662" s="52" t="s">
        <v>8237</v>
      </c>
      <c r="O662" s="17" t="s">
        <v>270</v>
      </c>
      <c r="P662" s="17" t="s">
        <v>3395</v>
      </c>
      <c r="Q662" s="81" t="s">
        <v>8238</v>
      </c>
      <c r="R662" s="11">
        <v>26.232119000000001</v>
      </c>
      <c r="S662" s="11">
        <v>-81.295658000000003</v>
      </c>
      <c r="T662" s="11" t="s">
        <v>8239</v>
      </c>
      <c r="U662" s="11" t="s">
        <v>8240</v>
      </c>
      <c r="V662" s="17" t="s">
        <v>8241</v>
      </c>
      <c r="W662" s="17" t="s">
        <v>110</v>
      </c>
      <c r="X662" s="70">
        <v>33.5</v>
      </c>
      <c r="Y662" s="70">
        <v>15.7</v>
      </c>
      <c r="Z662" s="13">
        <v>26680</v>
      </c>
      <c r="AA662" s="13">
        <v>26731</v>
      </c>
      <c r="AB662" s="13">
        <v>26816</v>
      </c>
      <c r="AC662" s="13">
        <v>32580</v>
      </c>
      <c r="AD662" s="86">
        <v>11880</v>
      </c>
      <c r="AE662" s="86">
        <v>11880</v>
      </c>
      <c r="AF662" s="71" t="s">
        <v>8242</v>
      </c>
      <c r="AG662" s="23" t="s">
        <v>8243</v>
      </c>
      <c r="AH662" s="17" t="s">
        <v>4600</v>
      </c>
      <c r="AI662" s="71" t="s">
        <v>8244</v>
      </c>
      <c r="AJ662" s="23" t="s">
        <v>94</v>
      </c>
      <c r="AK662" s="17" t="s">
        <v>95</v>
      </c>
      <c r="AL662" s="23" t="s">
        <v>95</v>
      </c>
      <c r="AM662" s="23" t="s">
        <v>94</v>
      </c>
      <c r="AN662" s="23" t="s">
        <v>94</v>
      </c>
      <c r="AO662" s="23" t="s">
        <v>8245</v>
      </c>
      <c r="AP662" s="17">
        <v>0</v>
      </c>
      <c r="AQ662" s="23" t="s">
        <v>8246</v>
      </c>
      <c r="AR662" s="23" t="s">
        <v>8247</v>
      </c>
      <c r="AS662" s="23" t="s">
        <v>8248</v>
      </c>
      <c r="AT662" s="17">
        <v>203</v>
      </c>
      <c r="AU662" s="30" t="s">
        <v>8249</v>
      </c>
      <c r="AV662" s="14">
        <v>11868</v>
      </c>
      <c r="AW662" s="74"/>
      <c r="AX662" s="1" t="s">
        <v>8250</v>
      </c>
      <c r="AY662" s="17" t="s">
        <v>101</v>
      </c>
    </row>
    <row r="663" spans="1:51" ht="15" customHeight="1" x14ac:dyDescent="0.25">
      <c r="A663" s="5">
        <v>642</v>
      </c>
      <c r="B663" s="9">
        <v>642</v>
      </c>
      <c r="C663" s="9" t="s">
        <v>8251</v>
      </c>
      <c r="D663" s="57" t="str">
        <f>HYPERLINK("http://prodenv.dep.state.fl.us/DepNexus/public/electronic-documents/OG_642/facility!search","OG_642_Docs")</f>
        <v>OG_642_Docs</v>
      </c>
      <c r="E663" s="57" t="str">
        <f>HYPERLINK("https://ca.dep.state.fl.us/mapdirect/?focus=oilandgas&amp;zoom=query&amp;querytype=oilandgas&amp;queryvalues=OG_642","OG_642_Map")</f>
        <v>OG_642_Map</v>
      </c>
      <c r="F663" s="1" t="s">
        <v>265</v>
      </c>
      <c r="G663" s="1" t="s">
        <v>7239</v>
      </c>
      <c r="H663" s="1" t="s">
        <v>176</v>
      </c>
      <c r="I663" s="1" t="s">
        <v>8252</v>
      </c>
      <c r="J663" s="17" t="s">
        <v>207</v>
      </c>
      <c r="K663" s="17" t="s">
        <v>208</v>
      </c>
      <c r="L663" s="17"/>
      <c r="M663" s="17" t="s">
        <v>207</v>
      </c>
      <c r="N663" s="52" t="s">
        <v>86</v>
      </c>
      <c r="O663" s="17" t="s">
        <v>270</v>
      </c>
      <c r="P663" s="17" t="s">
        <v>3395</v>
      </c>
      <c r="Q663" s="81" t="s">
        <v>8253</v>
      </c>
      <c r="R663" s="11">
        <v>26.225345999999998</v>
      </c>
      <c r="S663" s="11">
        <v>-81.266551000000007</v>
      </c>
      <c r="T663" s="11" t="s">
        <v>8254</v>
      </c>
      <c r="U663" s="11" t="s">
        <v>8255</v>
      </c>
      <c r="V663" s="17" t="s">
        <v>8256</v>
      </c>
      <c r="W663" s="17" t="s">
        <v>110</v>
      </c>
      <c r="X663" s="70"/>
      <c r="Y663" s="70"/>
      <c r="Z663" s="13">
        <v>26680</v>
      </c>
      <c r="AA663" s="13"/>
      <c r="AB663" s="13"/>
      <c r="AC663" s="13"/>
      <c r="AD663" s="86"/>
      <c r="AE663" s="70"/>
      <c r="AF663" s="70" t="s">
        <v>207</v>
      </c>
      <c r="AG663" s="14" t="s">
        <v>207</v>
      </c>
      <c r="AH663" s="14" t="s">
        <v>207</v>
      </c>
      <c r="AI663" s="70" t="s">
        <v>207</v>
      </c>
      <c r="AJ663" s="14" t="s">
        <v>207</v>
      </c>
      <c r="AK663" s="14" t="s">
        <v>207</v>
      </c>
      <c r="AL663" s="14" t="s">
        <v>207</v>
      </c>
      <c r="AM663" s="14" t="s">
        <v>207</v>
      </c>
      <c r="AN663" s="14" t="s">
        <v>207</v>
      </c>
      <c r="AO663" s="14" t="s">
        <v>207</v>
      </c>
      <c r="AP663" s="14" t="s">
        <v>207</v>
      </c>
      <c r="AQ663" s="14" t="s">
        <v>207</v>
      </c>
      <c r="AR663" s="14" t="s">
        <v>207</v>
      </c>
      <c r="AS663" s="14" t="s">
        <v>207</v>
      </c>
      <c r="AT663" s="14" t="s">
        <v>207</v>
      </c>
      <c r="AU663" s="30" t="s">
        <v>8257</v>
      </c>
      <c r="AV663" s="14" t="s">
        <v>207</v>
      </c>
      <c r="AW663" s="74"/>
      <c r="AX663" s="1"/>
      <c r="AY663" s="17" t="s">
        <v>101</v>
      </c>
    </row>
    <row r="664" spans="1:51" ht="15" customHeight="1" x14ac:dyDescent="0.25">
      <c r="A664" s="5">
        <v>642.1</v>
      </c>
      <c r="B664" s="9" t="s">
        <v>8258</v>
      </c>
      <c r="C664" s="9" t="s">
        <v>8251</v>
      </c>
      <c r="D664" s="57" t="str">
        <f>HYPERLINK("http://prodenv.dep.state.fl.us/DepNexus/public/electronic-documents/OG_642/facility!search","OG_642_Docs")</f>
        <v>OG_642_Docs</v>
      </c>
      <c r="E664" s="57" t="str">
        <f>HYPERLINK("https://ca.dep.state.fl.us/mapdirect/?focus=oilandgas&amp;zoom=query&amp;querytype=oilandgas&amp;queryvalues=OG_642","OG_642_Map")</f>
        <v>OG_642_Map</v>
      </c>
      <c r="F664" s="1" t="s">
        <v>265</v>
      </c>
      <c r="G664" s="1" t="s">
        <v>7239</v>
      </c>
      <c r="H664" s="1" t="s">
        <v>176</v>
      </c>
      <c r="I664" s="1" t="s">
        <v>8252</v>
      </c>
      <c r="J664" s="17" t="s">
        <v>207</v>
      </c>
      <c r="K664" s="17" t="s">
        <v>208</v>
      </c>
      <c r="L664" s="17"/>
      <c r="M664" s="17" t="s">
        <v>207</v>
      </c>
      <c r="N664" s="52" t="s">
        <v>86</v>
      </c>
      <c r="O664" s="17" t="s">
        <v>270</v>
      </c>
      <c r="P664" s="17" t="s">
        <v>3395</v>
      </c>
      <c r="Q664" s="81" t="s">
        <v>8253</v>
      </c>
      <c r="R664" s="11">
        <v>26.225345999999998</v>
      </c>
      <c r="S664" s="11">
        <v>-81.266551000000007</v>
      </c>
      <c r="T664" s="11" t="s">
        <v>8254</v>
      </c>
      <c r="U664" s="11" t="s">
        <v>8255</v>
      </c>
      <c r="V664" s="17" t="s">
        <v>8256</v>
      </c>
      <c r="W664" s="17" t="s">
        <v>110</v>
      </c>
      <c r="X664" s="70"/>
      <c r="Y664" s="70"/>
      <c r="Z664" s="13">
        <v>26862</v>
      </c>
      <c r="AA664" s="13"/>
      <c r="AB664" s="13"/>
      <c r="AC664" s="13"/>
      <c r="AD664" s="86"/>
      <c r="AE664" s="70"/>
      <c r="AF664" s="70" t="s">
        <v>207</v>
      </c>
      <c r="AG664" s="14" t="s">
        <v>207</v>
      </c>
      <c r="AH664" s="14" t="s">
        <v>207</v>
      </c>
      <c r="AI664" s="70" t="s">
        <v>207</v>
      </c>
      <c r="AJ664" s="14" t="s">
        <v>207</v>
      </c>
      <c r="AK664" s="14" t="s">
        <v>207</v>
      </c>
      <c r="AL664" s="14" t="s">
        <v>207</v>
      </c>
      <c r="AM664" s="14" t="s">
        <v>207</v>
      </c>
      <c r="AN664" s="14" t="s">
        <v>207</v>
      </c>
      <c r="AO664" s="14" t="s">
        <v>207</v>
      </c>
      <c r="AP664" s="14" t="s">
        <v>207</v>
      </c>
      <c r="AQ664" s="14" t="s">
        <v>207</v>
      </c>
      <c r="AR664" s="14" t="s">
        <v>207</v>
      </c>
      <c r="AS664" s="14" t="s">
        <v>207</v>
      </c>
      <c r="AT664" s="14" t="s">
        <v>207</v>
      </c>
      <c r="AU664" s="32" t="s">
        <v>8259</v>
      </c>
      <c r="AV664" s="14" t="s">
        <v>207</v>
      </c>
      <c r="AW664" s="74"/>
      <c r="AX664" s="1"/>
      <c r="AY664" s="17" t="s">
        <v>101</v>
      </c>
    </row>
    <row r="665" spans="1:51" ht="12.75" customHeight="1" x14ac:dyDescent="0.25">
      <c r="A665" s="5">
        <v>643</v>
      </c>
      <c r="B665" s="9">
        <v>643</v>
      </c>
      <c r="C665" s="9" t="s">
        <v>8260</v>
      </c>
      <c r="D665" s="57" t="str">
        <f>HYPERLINK("http://prodenv.dep.state.fl.us/DepNexus/public/electronic-documents/OG_643/facility!search","OG_643_Docs")</f>
        <v>OG_643_Docs</v>
      </c>
      <c r="E665" s="57" t="str">
        <f>HYPERLINK("https://ca.dep.state.fl.us/mapdirect/?focus=oilandgas&amp;zoom=query&amp;querytype=oilandgas&amp;queryvalues=OG_643","OG_643_Map")</f>
        <v>OG_643_Map</v>
      </c>
      <c r="F665" s="1" t="s">
        <v>265</v>
      </c>
      <c r="G665" s="1" t="s">
        <v>7239</v>
      </c>
      <c r="H665" s="1" t="s">
        <v>8261</v>
      </c>
      <c r="I665" s="1" t="s">
        <v>8262</v>
      </c>
      <c r="J665" s="17" t="s">
        <v>207</v>
      </c>
      <c r="K665" s="17" t="s">
        <v>208</v>
      </c>
      <c r="L665" s="17"/>
      <c r="M665" s="17" t="s">
        <v>207</v>
      </c>
      <c r="N665" s="52" t="s">
        <v>86</v>
      </c>
      <c r="O665" s="17" t="s">
        <v>270</v>
      </c>
      <c r="P665" s="17" t="s">
        <v>3395</v>
      </c>
      <c r="Q665" s="81" t="s">
        <v>8263</v>
      </c>
      <c r="R665" s="11">
        <v>26.224772000000002</v>
      </c>
      <c r="S665" s="11">
        <v>-81.279070000000004</v>
      </c>
      <c r="T665" s="11" t="s">
        <v>8264</v>
      </c>
      <c r="U665" s="11" t="s">
        <v>8265</v>
      </c>
      <c r="V665" s="17" t="s">
        <v>8266</v>
      </c>
      <c r="W665" s="17" t="s">
        <v>110</v>
      </c>
      <c r="X665" s="70"/>
      <c r="Y665" s="70"/>
      <c r="Z665" s="13">
        <v>26680</v>
      </c>
      <c r="AA665" s="13"/>
      <c r="AB665" s="13"/>
      <c r="AC665" s="13"/>
      <c r="AD665" s="86"/>
      <c r="AE665" s="70"/>
      <c r="AF665" s="70" t="s">
        <v>207</v>
      </c>
      <c r="AG665" s="14" t="s">
        <v>207</v>
      </c>
      <c r="AH665" s="14" t="s">
        <v>207</v>
      </c>
      <c r="AI665" s="70" t="s">
        <v>207</v>
      </c>
      <c r="AJ665" s="14" t="s">
        <v>207</v>
      </c>
      <c r="AK665" s="14" t="s">
        <v>207</v>
      </c>
      <c r="AL665" s="14" t="s">
        <v>207</v>
      </c>
      <c r="AM665" s="14" t="s">
        <v>207</v>
      </c>
      <c r="AN665" s="14" t="s">
        <v>207</v>
      </c>
      <c r="AO665" s="14" t="s">
        <v>207</v>
      </c>
      <c r="AP665" s="14" t="s">
        <v>207</v>
      </c>
      <c r="AQ665" s="14" t="s">
        <v>207</v>
      </c>
      <c r="AR665" s="14" t="s">
        <v>207</v>
      </c>
      <c r="AS665" s="14" t="s">
        <v>207</v>
      </c>
      <c r="AT665" s="14" t="s">
        <v>207</v>
      </c>
      <c r="AU665" s="30" t="s">
        <v>8267</v>
      </c>
      <c r="AV665" s="14" t="s">
        <v>207</v>
      </c>
      <c r="AW665" s="74"/>
      <c r="AX665" s="1"/>
      <c r="AY665" s="17" t="s">
        <v>101</v>
      </c>
    </row>
    <row r="666" spans="1:51" ht="12.75" customHeight="1" x14ac:dyDescent="0.25">
      <c r="A666" s="5">
        <v>643.1</v>
      </c>
      <c r="B666" s="9" t="s">
        <v>8268</v>
      </c>
      <c r="C666" s="9" t="s">
        <v>8260</v>
      </c>
      <c r="D666" s="57" t="str">
        <f>HYPERLINK("http://prodenv.dep.state.fl.us/DepNexus/public/electronic-documents/OG_643/facility!search","OG_643_Docs")</f>
        <v>OG_643_Docs</v>
      </c>
      <c r="E666" s="57" t="str">
        <f>HYPERLINK("https://ca.dep.state.fl.us/mapdirect/?focus=oilandgas&amp;zoom=query&amp;querytype=oilandgas&amp;queryvalues=OG_643","OG_643_Map")</f>
        <v>OG_643_Map</v>
      </c>
      <c r="F666" s="1" t="s">
        <v>265</v>
      </c>
      <c r="G666" s="1" t="s">
        <v>7239</v>
      </c>
      <c r="H666" s="1" t="s">
        <v>8261</v>
      </c>
      <c r="I666" s="1" t="s">
        <v>8262</v>
      </c>
      <c r="J666" s="17" t="s">
        <v>207</v>
      </c>
      <c r="K666" s="17" t="s">
        <v>208</v>
      </c>
      <c r="L666" s="17"/>
      <c r="M666" s="17" t="s">
        <v>207</v>
      </c>
      <c r="N666" s="52" t="s">
        <v>86</v>
      </c>
      <c r="O666" s="17" t="s">
        <v>270</v>
      </c>
      <c r="P666" s="17" t="s">
        <v>3395</v>
      </c>
      <c r="Q666" s="81" t="s">
        <v>8263</v>
      </c>
      <c r="R666" s="11">
        <v>26.224772000000002</v>
      </c>
      <c r="S666" s="11">
        <v>-81.279070000000004</v>
      </c>
      <c r="T666" s="11" t="s">
        <v>8264</v>
      </c>
      <c r="U666" s="11" t="s">
        <v>8265</v>
      </c>
      <c r="V666" s="17" t="s">
        <v>8266</v>
      </c>
      <c r="W666" s="17" t="s">
        <v>110</v>
      </c>
      <c r="X666" s="70"/>
      <c r="Y666" s="70"/>
      <c r="Z666" s="13">
        <v>26862</v>
      </c>
      <c r="AA666" s="13"/>
      <c r="AB666" s="13"/>
      <c r="AC666" s="13"/>
      <c r="AD666" s="86"/>
      <c r="AE666" s="70"/>
      <c r="AF666" s="70" t="s">
        <v>207</v>
      </c>
      <c r="AG666" s="14" t="s">
        <v>207</v>
      </c>
      <c r="AH666" s="14" t="s">
        <v>207</v>
      </c>
      <c r="AI666" s="70" t="s">
        <v>207</v>
      </c>
      <c r="AJ666" s="14" t="s">
        <v>207</v>
      </c>
      <c r="AK666" s="14" t="s">
        <v>207</v>
      </c>
      <c r="AL666" s="14" t="s">
        <v>207</v>
      </c>
      <c r="AM666" s="14" t="s">
        <v>207</v>
      </c>
      <c r="AN666" s="14" t="s">
        <v>207</v>
      </c>
      <c r="AO666" s="14" t="s">
        <v>207</v>
      </c>
      <c r="AP666" s="14" t="s">
        <v>207</v>
      </c>
      <c r="AQ666" s="14" t="s">
        <v>207</v>
      </c>
      <c r="AR666" s="14" t="s">
        <v>207</v>
      </c>
      <c r="AS666" s="14" t="s">
        <v>207</v>
      </c>
      <c r="AT666" s="14" t="s">
        <v>207</v>
      </c>
      <c r="AU666" s="30" t="s">
        <v>8269</v>
      </c>
      <c r="AV666" s="14" t="s">
        <v>207</v>
      </c>
      <c r="AW666" s="74"/>
      <c r="AX666" s="1"/>
      <c r="AY666" s="17" t="s">
        <v>101</v>
      </c>
    </row>
    <row r="667" spans="1:51" ht="12.75" customHeight="1" x14ac:dyDescent="0.25">
      <c r="A667" s="5">
        <v>644</v>
      </c>
      <c r="B667" s="9">
        <v>644</v>
      </c>
      <c r="C667" s="9" t="s">
        <v>8270</v>
      </c>
      <c r="D667" s="57" t="str">
        <f>HYPERLINK("http://prodenv.dep.state.fl.us/DepNexus/public/electronic-documents/OG_644/facility!search","OG_644_Docs")</f>
        <v>OG_644_Docs</v>
      </c>
      <c r="E667" s="57" t="str">
        <f>HYPERLINK("https://ca.dep.state.fl.us/mapdirect/?focus=oilandgas&amp;zoom=query&amp;querytype=oilandgas&amp;queryvalues=OG_644","OG_644_Map")</f>
        <v>OG_644_Map</v>
      </c>
      <c r="F667" s="1" t="s">
        <v>971</v>
      </c>
      <c r="G667" s="1" t="s">
        <v>79</v>
      </c>
      <c r="H667" s="1" t="s">
        <v>8271</v>
      </c>
      <c r="I667" s="1" t="s">
        <v>8272</v>
      </c>
      <c r="J667" s="17" t="s">
        <v>82</v>
      </c>
      <c r="K667" s="17" t="s">
        <v>83</v>
      </c>
      <c r="L667" s="17"/>
      <c r="M667" s="17"/>
      <c r="N667" s="52" t="s">
        <v>4735</v>
      </c>
      <c r="O667" s="17" t="s">
        <v>86</v>
      </c>
      <c r="P667" s="17" t="s">
        <v>86</v>
      </c>
      <c r="Q667" s="81" t="s">
        <v>8273</v>
      </c>
      <c r="R667" s="11">
        <v>30.539971999999999</v>
      </c>
      <c r="S667" s="11">
        <v>-85.785379000000006</v>
      </c>
      <c r="T667" s="11" t="s">
        <v>8274</v>
      </c>
      <c r="U667" s="11" t="s">
        <v>8275</v>
      </c>
      <c r="V667" s="17" t="s">
        <v>8276</v>
      </c>
      <c r="W667" s="17" t="s">
        <v>110</v>
      </c>
      <c r="X667" s="70">
        <v>153</v>
      </c>
      <c r="Y667" s="70">
        <v>130</v>
      </c>
      <c r="Z667" s="13">
        <v>26680</v>
      </c>
      <c r="AA667" s="13">
        <v>26729</v>
      </c>
      <c r="AB667" s="13"/>
      <c r="AC667" s="13">
        <v>26773</v>
      </c>
      <c r="AD667" s="86">
        <v>11593</v>
      </c>
      <c r="AE667" s="86">
        <v>11593</v>
      </c>
      <c r="AF667" s="70" t="s">
        <v>988</v>
      </c>
      <c r="AG667" s="17" t="s">
        <v>8277</v>
      </c>
      <c r="AH667" s="17" t="s">
        <v>8278</v>
      </c>
      <c r="AI667" s="70" t="s">
        <v>94</v>
      </c>
      <c r="AJ667" s="17" t="s">
        <v>94</v>
      </c>
      <c r="AK667" s="17" t="s">
        <v>95</v>
      </c>
      <c r="AL667" s="17" t="s">
        <v>94</v>
      </c>
      <c r="AM667" s="17" t="s">
        <v>94</v>
      </c>
      <c r="AN667" s="17" t="s">
        <v>94</v>
      </c>
      <c r="AO667" s="17" t="s">
        <v>98</v>
      </c>
      <c r="AP667" s="17" t="s">
        <v>98</v>
      </c>
      <c r="AQ667" s="17" t="s">
        <v>98</v>
      </c>
      <c r="AR667" s="17" t="s">
        <v>94</v>
      </c>
      <c r="AS667" s="17" t="s">
        <v>8279</v>
      </c>
      <c r="AT667" s="17"/>
      <c r="AU667" s="30" t="s">
        <v>8280</v>
      </c>
      <c r="AV667" s="14">
        <v>11822</v>
      </c>
      <c r="AW667" s="74"/>
      <c r="AX667" s="1"/>
      <c r="AY667" s="17" t="s">
        <v>101</v>
      </c>
    </row>
    <row r="668" spans="1:51" ht="12.75" customHeight="1" x14ac:dyDescent="0.25">
      <c r="A668" s="5">
        <v>645</v>
      </c>
      <c r="B668" s="9">
        <v>645</v>
      </c>
      <c r="C668" s="9" t="s">
        <v>8281</v>
      </c>
      <c r="D668" s="57" t="str">
        <f>HYPERLINK("http://prodenv.dep.state.fl.us/DepNexus/public/electronic-documents/OG_645/facility!search","OG_645_Docs")</f>
        <v>OG_645_Docs</v>
      </c>
      <c r="E668" s="57" t="str">
        <f>HYPERLINK("https://ca.dep.state.fl.us/mapdirect/?focus=oilandgas&amp;zoom=query&amp;querytype=oilandgas&amp;queryvalues=OG_645","OG_645_Map")</f>
        <v>OG_645_Map</v>
      </c>
      <c r="F668" s="1" t="s">
        <v>2026</v>
      </c>
      <c r="G668" s="1" t="s">
        <v>4496</v>
      </c>
      <c r="H668" s="1" t="s">
        <v>8261</v>
      </c>
      <c r="I668" s="1" t="s">
        <v>8282</v>
      </c>
      <c r="J668" s="17" t="s">
        <v>4294</v>
      </c>
      <c r="K668" s="17" t="s">
        <v>4294</v>
      </c>
      <c r="L668" s="17"/>
      <c r="M668" s="17"/>
      <c r="N668" s="52" t="s">
        <v>86</v>
      </c>
      <c r="O668" s="17" t="s">
        <v>86</v>
      </c>
      <c r="P668" s="17" t="s">
        <v>86</v>
      </c>
      <c r="Q668" s="81" t="s">
        <v>8283</v>
      </c>
      <c r="R668" s="11">
        <v>26.553445</v>
      </c>
      <c r="S668" s="11">
        <v>-81.567177000000001</v>
      </c>
      <c r="T668" s="11" t="s">
        <v>8284</v>
      </c>
      <c r="U668" s="11" t="s">
        <v>8285</v>
      </c>
      <c r="V668" s="17" t="s">
        <v>8286</v>
      </c>
      <c r="W668" s="17" t="s">
        <v>110</v>
      </c>
      <c r="X668" s="70">
        <v>45.2</v>
      </c>
      <c r="Y668" s="70">
        <v>30.6</v>
      </c>
      <c r="Z668" s="13">
        <v>26701</v>
      </c>
      <c r="AA668" s="13">
        <v>26709</v>
      </c>
      <c r="AB668" s="13"/>
      <c r="AC668" s="13">
        <v>26752</v>
      </c>
      <c r="AD668" s="86">
        <v>3640</v>
      </c>
      <c r="AE668" s="86">
        <v>3640</v>
      </c>
      <c r="AF668" s="70" t="s">
        <v>7888</v>
      </c>
      <c r="AG668" s="17" t="s">
        <v>8287</v>
      </c>
      <c r="AH668" s="17" t="s">
        <v>94</v>
      </c>
      <c r="AI668" s="70" t="s">
        <v>94</v>
      </c>
      <c r="AJ668" s="17" t="s">
        <v>94</v>
      </c>
      <c r="AK668" s="17" t="s">
        <v>94</v>
      </c>
      <c r="AL668" s="17" t="s">
        <v>94</v>
      </c>
      <c r="AM668" s="17" t="s">
        <v>94</v>
      </c>
      <c r="AN668" s="17" t="s">
        <v>94</v>
      </c>
      <c r="AO668" s="17" t="s">
        <v>94</v>
      </c>
      <c r="AP668" s="17" t="s">
        <v>94</v>
      </c>
      <c r="AQ668" s="17" t="s">
        <v>94</v>
      </c>
      <c r="AR668" s="17" t="s">
        <v>94</v>
      </c>
      <c r="AS668" s="17" t="s">
        <v>8288</v>
      </c>
      <c r="AT668" s="17"/>
      <c r="AU668" s="30" t="s">
        <v>8289</v>
      </c>
      <c r="AV668" s="14" t="s">
        <v>94</v>
      </c>
      <c r="AW668" s="74"/>
      <c r="AX668" s="1" t="s">
        <v>8290</v>
      </c>
      <c r="AY668" s="17" t="s">
        <v>101</v>
      </c>
    </row>
    <row r="669" spans="1:51" ht="12.75" customHeight="1" x14ac:dyDescent="0.25">
      <c r="A669" s="5">
        <v>645.1</v>
      </c>
      <c r="B669" s="9" t="s">
        <v>8291</v>
      </c>
      <c r="C669" s="9" t="s">
        <v>8281</v>
      </c>
      <c r="D669" s="57" t="str">
        <f>HYPERLINK("http://prodenv.dep.state.fl.us/DepNexus/public/electronic-documents/OG_645/facility!search","OG_645_Docs")</f>
        <v>OG_645_Docs</v>
      </c>
      <c r="E669" s="57" t="str">
        <f>HYPERLINK("https://ca.dep.state.fl.us/mapdirect/?focus=oilandgas&amp;zoom=query&amp;querytype=oilandgas&amp;queryvalues=OG_645","OG_645_Map")</f>
        <v>OG_645_Map</v>
      </c>
      <c r="F669" s="1" t="s">
        <v>2026</v>
      </c>
      <c r="G669" s="1" t="s">
        <v>4496</v>
      </c>
      <c r="H669" s="1" t="s">
        <v>8261</v>
      </c>
      <c r="I669" s="1" t="s">
        <v>8292</v>
      </c>
      <c r="J669" s="17" t="s">
        <v>4294</v>
      </c>
      <c r="K669" s="17" t="s">
        <v>4294</v>
      </c>
      <c r="L669" s="17"/>
      <c r="M669" s="17"/>
      <c r="N669" s="52" t="s">
        <v>86</v>
      </c>
      <c r="O669" s="17" t="s">
        <v>86</v>
      </c>
      <c r="P669" s="17" t="s">
        <v>86</v>
      </c>
      <c r="Q669" s="81" t="s">
        <v>8283</v>
      </c>
      <c r="R669" s="11">
        <v>26.553825</v>
      </c>
      <c r="S669" s="11">
        <v>-81.567133999999996</v>
      </c>
      <c r="T669" s="11" t="s">
        <v>8293</v>
      </c>
      <c r="U669" s="11" t="s">
        <v>8294</v>
      </c>
      <c r="V669" s="17" t="s">
        <v>8295</v>
      </c>
      <c r="W669" s="17" t="s">
        <v>110</v>
      </c>
      <c r="X669" s="70">
        <v>45.2</v>
      </c>
      <c r="Y669" s="70">
        <v>30.6</v>
      </c>
      <c r="Z669" s="13">
        <v>26771</v>
      </c>
      <c r="AA669" s="13">
        <v>26757</v>
      </c>
      <c r="AB669" s="13"/>
      <c r="AC669" s="13">
        <v>26772</v>
      </c>
      <c r="AD669" s="86">
        <v>2603</v>
      </c>
      <c r="AE669" s="86">
        <v>2603</v>
      </c>
      <c r="AF669" s="70" t="s">
        <v>6793</v>
      </c>
      <c r="AG669" s="17" t="s">
        <v>8296</v>
      </c>
      <c r="AH669" s="17" t="s">
        <v>94</v>
      </c>
      <c r="AI669" s="70" t="s">
        <v>94</v>
      </c>
      <c r="AJ669" s="17" t="s">
        <v>94</v>
      </c>
      <c r="AK669" s="17" t="s">
        <v>94</v>
      </c>
      <c r="AL669" s="17" t="s">
        <v>94</v>
      </c>
      <c r="AM669" s="17" t="s">
        <v>94</v>
      </c>
      <c r="AN669" s="17" t="s">
        <v>94</v>
      </c>
      <c r="AO669" s="17" t="s">
        <v>94</v>
      </c>
      <c r="AP669" s="17" t="s">
        <v>94</v>
      </c>
      <c r="AQ669" s="17" t="s">
        <v>94</v>
      </c>
      <c r="AR669" s="17" t="s">
        <v>94</v>
      </c>
      <c r="AS669" s="17" t="s">
        <v>8297</v>
      </c>
      <c r="AT669" s="17"/>
      <c r="AU669" s="30" t="s">
        <v>8298</v>
      </c>
      <c r="AV669" s="14" t="s">
        <v>94</v>
      </c>
      <c r="AW669" s="74"/>
      <c r="AX669" s="1" t="s">
        <v>8299</v>
      </c>
      <c r="AY669" s="17" t="s">
        <v>101</v>
      </c>
    </row>
    <row r="670" spans="1:51" ht="12.75" customHeight="1" x14ac:dyDescent="0.25">
      <c r="A670" s="5">
        <v>645.20000000000005</v>
      </c>
      <c r="B670" s="9" t="s">
        <v>8300</v>
      </c>
      <c r="C670" s="9" t="s">
        <v>8281</v>
      </c>
      <c r="D670" s="57" t="str">
        <f>HYPERLINK("http://prodenv.dep.state.fl.us/DepNexus/public/electronic-documents/OG_645/facility!search","OG_645_Docs")</f>
        <v>OG_645_Docs</v>
      </c>
      <c r="E670" s="57" t="str">
        <f>HYPERLINK("https://ca.dep.state.fl.us/mapdirect/?focus=oilandgas&amp;zoom=query&amp;querytype=oilandgas&amp;queryvalues=OG_645","OG_645_Map")</f>
        <v>OG_645_Map</v>
      </c>
      <c r="F670" s="1" t="s">
        <v>1752</v>
      </c>
      <c r="G670" s="1" t="s">
        <v>4496</v>
      </c>
      <c r="H670" s="1" t="s">
        <v>8261</v>
      </c>
      <c r="I670" s="1" t="s">
        <v>8301</v>
      </c>
      <c r="J670" s="17" t="s">
        <v>268</v>
      </c>
      <c r="K670" s="17" t="s">
        <v>412</v>
      </c>
      <c r="L670" s="17"/>
      <c r="M670" s="17"/>
      <c r="N670" s="52" t="s">
        <v>8302</v>
      </c>
      <c r="O670" s="17" t="s">
        <v>86</v>
      </c>
      <c r="P670" s="17" t="s">
        <v>86</v>
      </c>
      <c r="Q670" s="81" t="s">
        <v>8303</v>
      </c>
      <c r="R670" s="11">
        <v>26.553674000000001</v>
      </c>
      <c r="S670" s="11">
        <v>-81.563980000000001</v>
      </c>
      <c r="T670" s="11" t="s">
        <v>8304</v>
      </c>
      <c r="U670" s="11" t="s">
        <v>8305</v>
      </c>
      <c r="V670" s="17" t="s">
        <v>8306</v>
      </c>
      <c r="W670" s="17" t="s">
        <v>8307</v>
      </c>
      <c r="X670" s="70"/>
      <c r="Y670" s="70">
        <v>30.8</v>
      </c>
      <c r="Z670" s="13">
        <v>26834</v>
      </c>
      <c r="AA670" s="13">
        <v>26838</v>
      </c>
      <c r="AB670" s="13"/>
      <c r="AC670" s="13">
        <v>26948</v>
      </c>
      <c r="AD670" s="86">
        <v>11600</v>
      </c>
      <c r="AE670" s="86">
        <v>11700</v>
      </c>
      <c r="AF670" s="70" t="s">
        <v>183</v>
      </c>
      <c r="AG670" s="17" t="s">
        <v>8308</v>
      </c>
      <c r="AH670" s="17" t="s">
        <v>4600</v>
      </c>
      <c r="AI670" s="70" t="s">
        <v>8309</v>
      </c>
      <c r="AJ670" s="17" t="s">
        <v>8310</v>
      </c>
      <c r="AK670" s="17" t="s">
        <v>94</v>
      </c>
      <c r="AL670" s="17" t="s">
        <v>8311</v>
      </c>
      <c r="AM670" s="17" t="s">
        <v>95</v>
      </c>
      <c r="AN670" s="17">
        <v>11787</v>
      </c>
      <c r="AO670" s="17" t="s">
        <v>8312</v>
      </c>
      <c r="AP670" s="17" t="s">
        <v>86</v>
      </c>
      <c r="AQ670" s="17" t="s">
        <v>8313</v>
      </c>
      <c r="AR670" s="17" t="s">
        <v>8314</v>
      </c>
      <c r="AS670" s="17" t="s">
        <v>8315</v>
      </c>
      <c r="AT670" s="17"/>
      <c r="AU670" s="30" t="s">
        <v>8316</v>
      </c>
      <c r="AV670" s="14">
        <v>12018</v>
      </c>
      <c r="AW670" s="74"/>
      <c r="AX670" s="1"/>
      <c r="AY670" s="17" t="s">
        <v>101</v>
      </c>
    </row>
    <row r="671" spans="1:51" ht="12.75" customHeight="1" x14ac:dyDescent="0.25">
      <c r="A671" s="5">
        <v>645.29999999999995</v>
      </c>
      <c r="B671" s="9" t="s">
        <v>8317</v>
      </c>
      <c r="C671" s="9" t="s">
        <v>8281</v>
      </c>
      <c r="D671" s="57" t="str">
        <f>HYPERLINK("http://prodenv.dep.state.fl.us/DepNexus/public/electronic-documents/OG_645/facility!search","OG_645_Docs")</f>
        <v>OG_645_Docs</v>
      </c>
      <c r="E671" s="57" t="str">
        <f>HYPERLINK("https://ca.dep.state.fl.us/mapdirect/?focus=oilandgas&amp;zoom=query&amp;querytype=oilandgas&amp;queryvalues=OG_645","OG_645_Map")</f>
        <v>OG_645_Map</v>
      </c>
      <c r="F671" s="1" t="s">
        <v>1752</v>
      </c>
      <c r="G671" s="1" t="s">
        <v>4496</v>
      </c>
      <c r="H671" s="1" t="s">
        <v>8318</v>
      </c>
      <c r="I671" s="1" t="s">
        <v>8319</v>
      </c>
      <c r="J671" s="17" t="s">
        <v>268</v>
      </c>
      <c r="K671" s="17" t="s">
        <v>412</v>
      </c>
      <c r="L671" s="17"/>
      <c r="M671" s="17"/>
      <c r="N671" s="52" t="s">
        <v>4735</v>
      </c>
      <c r="O671" s="17" t="s">
        <v>86</v>
      </c>
      <c r="P671" s="17" t="s">
        <v>86</v>
      </c>
      <c r="Q671" s="81" t="s">
        <v>8303</v>
      </c>
      <c r="R671" s="11">
        <v>26.553674000000001</v>
      </c>
      <c r="S671" s="11">
        <v>-81.563980000000001</v>
      </c>
      <c r="T671" s="11" t="s">
        <v>8304</v>
      </c>
      <c r="U671" s="11" t="s">
        <v>8305</v>
      </c>
      <c r="V671" s="17" t="s">
        <v>8306</v>
      </c>
      <c r="W671" s="17" t="s">
        <v>8320</v>
      </c>
      <c r="X671" s="70">
        <v>53.8</v>
      </c>
      <c r="Y671" s="70">
        <v>30.8</v>
      </c>
      <c r="Z671" s="13">
        <v>28663</v>
      </c>
      <c r="AA671" s="13">
        <v>28803</v>
      </c>
      <c r="AB671" s="13">
        <v>33434</v>
      </c>
      <c r="AC671" s="13">
        <v>29046</v>
      </c>
      <c r="AD671" s="86">
        <v>11502</v>
      </c>
      <c r="AE671" s="86">
        <v>11789</v>
      </c>
      <c r="AF671" s="70" t="s">
        <v>183</v>
      </c>
      <c r="AG671" s="17" t="s">
        <v>8308</v>
      </c>
      <c r="AH671" s="17" t="s">
        <v>4600</v>
      </c>
      <c r="AI671" s="70" t="s">
        <v>8321</v>
      </c>
      <c r="AJ671" s="17" t="s">
        <v>8322</v>
      </c>
      <c r="AK671" s="17" t="s">
        <v>95</v>
      </c>
      <c r="AL671" s="17" t="s">
        <v>94</v>
      </c>
      <c r="AM671" s="17" t="s">
        <v>95</v>
      </c>
      <c r="AN671" s="17" t="s">
        <v>86</v>
      </c>
      <c r="AO671" s="17" t="s">
        <v>8323</v>
      </c>
      <c r="AP671" s="17" t="s">
        <v>86</v>
      </c>
      <c r="AQ671" s="17" t="s">
        <v>8324</v>
      </c>
      <c r="AR671" s="17" t="s">
        <v>8325</v>
      </c>
      <c r="AS671" s="17" t="s">
        <v>8326</v>
      </c>
      <c r="AT671" s="17"/>
      <c r="AU671" s="30" t="s">
        <v>8327</v>
      </c>
      <c r="AV671" s="14"/>
      <c r="AW671" s="74"/>
      <c r="AX671" s="1"/>
      <c r="AY671" s="17" t="s">
        <v>101</v>
      </c>
    </row>
    <row r="672" spans="1:51" ht="15" customHeight="1" x14ac:dyDescent="0.25">
      <c r="A672" s="5">
        <v>645.4</v>
      </c>
      <c r="B672" s="9" t="s">
        <v>8328</v>
      </c>
      <c r="C672" s="9" t="s">
        <v>8281</v>
      </c>
      <c r="D672" s="57" t="str">
        <f>HYPERLINK("http://prodenv.dep.state.fl.us/DepNexus/public/electronic-documents/OG_645/facility!search","OG_645_Docs")</f>
        <v>OG_645_Docs</v>
      </c>
      <c r="E672" s="57" t="str">
        <f>HYPERLINK("https://ca.dep.state.fl.us/mapdirect/?focus=oilandgas&amp;zoom=query&amp;querytype=oilandgas&amp;queryvalues=OG_645","OG_645_Map")</f>
        <v>OG_645_Map</v>
      </c>
      <c r="F672" s="1" t="s">
        <v>1752</v>
      </c>
      <c r="G672" s="1" t="s">
        <v>4496</v>
      </c>
      <c r="H672" s="1" t="s">
        <v>1363</v>
      </c>
      <c r="I672" s="1" t="s">
        <v>8329</v>
      </c>
      <c r="J672" s="17" t="s">
        <v>3646</v>
      </c>
      <c r="K672" s="17" t="s">
        <v>412</v>
      </c>
      <c r="L672" s="17"/>
      <c r="M672" s="17"/>
      <c r="N672" s="52" t="s">
        <v>8330</v>
      </c>
      <c r="O672" s="17" t="s">
        <v>86</v>
      </c>
      <c r="P672" s="17" t="s">
        <v>86</v>
      </c>
      <c r="Q672" s="81" t="s">
        <v>8303</v>
      </c>
      <c r="R672" s="11">
        <v>26.553674000000001</v>
      </c>
      <c r="S672" s="11">
        <v>-81.563980000000001</v>
      </c>
      <c r="T672" s="11" t="s">
        <v>8304</v>
      </c>
      <c r="U672" s="11" t="s">
        <v>8305</v>
      </c>
      <c r="V672" s="17" t="s">
        <v>8306</v>
      </c>
      <c r="W672" s="17" t="s">
        <v>8331</v>
      </c>
      <c r="X672" s="70">
        <v>41</v>
      </c>
      <c r="Y672" s="70">
        <v>30.8</v>
      </c>
      <c r="Z672" s="13">
        <v>35570</v>
      </c>
      <c r="AA672" s="13">
        <v>35661</v>
      </c>
      <c r="AB672" s="13">
        <v>35685</v>
      </c>
      <c r="AC672" s="13"/>
      <c r="AD672" s="86">
        <v>11462</v>
      </c>
      <c r="AE672" s="70">
        <v>12628</v>
      </c>
      <c r="AF672" s="70" t="s">
        <v>183</v>
      </c>
      <c r="AG672" s="17" t="s">
        <v>4599</v>
      </c>
      <c r="AH672" s="17" t="s">
        <v>8332</v>
      </c>
      <c r="AI672" s="70" t="s">
        <v>8333</v>
      </c>
      <c r="AJ672" s="17" t="s">
        <v>8334</v>
      </c>
      <c r="AK672" s="17" t="s">
        <v>8335</v>
      </c>
      <c r="AL672" s="17" t="s">
        <v>94</v>
      </c>
      <c r="AM672" s="17" t="s">
        <v>94</v>
      </c>
      <c r="AN672" s="17" t="s">
        <v>98</v>
      </c>
      <c r="AO672" s="17" t="s">
        <v>8336</v>
      </c>
      <c r="AP672" s="17" t="s">
        <v>8337</v>
      </c>
      <c r="AQ672" s="17" t="s">
        <v>8338</v>
      </c>
      <c r="AR672" s="17" t="s">
        <v>8339</v>
      </c>
      <c r="AS672" s="17"/>
      <c r="AT672" s="17"/>
      <c r="AU672" s="30" t="s">
        <v>8340</v>
      </c>
      <c r="AV672" s="14">
        <v>14174</v>
      </c>
      <c r="AW672" s="74">
        <v>313100</v>
      </c>
      <c r="AX672" s="1"/>
      <c r="AY672" s="17" t="s">
        <v>101</v>
      </c>
    </row>
    <row r="673" spans="1:51" ht="15" customHeight="1" x14ac:dyDescent="0.25">
      <c r="A673" s="5">
        <v>646</v>
      </c>
      <c r="B673" s="9">
        <v>646</v>
      </c>
      <c r="C673" s="9" t="s">
        <v>8341</v>
      </c>
      <c r="D673" s="57" t="str">
        <f>HYPERLINK("http://prodenv.dep.state.fl.us/DepNexus/public/electronic-documents/OG_646/facility!search","OG_646_Docs")</f>
        <v>OG_646_Docs</v>
      </c>
      <c r="E673" s="57" t="str">
        <f>HYPERLINK("https://ca.dep.state.fl.us/mapdirect/?focus=oilandgas&amp;zoom=query&amp;querytype=oilandgas&amp;queryvalues=OG_646","OG_646_Map")</f>
        <v>OG_646_Map</v>
      </c>
      <c r="F673" s="1" t="s">
        <v>265</v>
      </c>
      <c r="G673" s="1" t="s">
        <v>79</v>
      </c>
      <c r="H673" s="1" t="s">
        <v>8261</v>
      </c>
      <c r="I673" s="1" t="s">
        <v>8342</v>
      </c>
      <c r="J673" s="17" t="s">
        <v>82</v>
      </c>
      <c r="K673" s="17" t="s">
        <v>83</v>
      </c>
      <c r="L673" s="17"/>
      <c r="M673" s="17"/>
      <c r="N673" s="52" t="s">
        <v>3956</v>
      </c>
      <c r="O673" s="17" t="s">
        <v>270</v>
      </c>
      <c r="P673" s="17" t="s">
        <v>3395</v>
      </c>
      <c r="Q673" s="81" t="s">
        <v>8343</v>
      </c>
      <c r="R673" s="11">
        <v>26.101320999999999</v>
      </c>
      <c r="S673" s="11">
        <v>-81.27</v>
      </c>
      <c r="T673" s="11" t="s">
        <v>8344</v>
      </c>
      <c r="U673" s="11" t="s">
        <v>8345</v>
      </c>
      <c r="V673" s="17" t="s">
        <v>8346</v>
      </c>
      <c r="W673" s="17" t="s">
        <v>110</v>
      </c>
      <c r="X673" s="70">
        <v>14.4</v>
      </c>
      <c r="Y673" s="70">
        <v>11.8</v>
      </c>
      <c r="Z673" s="13">
        <v>26701</v>
      </c>
      <c r="AA673" s="13">
        <v>26773</v>
      </c>
      <c r="AB673" s="13"/>
      <c r="AC673" s="13">
        <v>26813</v>
      </c>
      <c r="AD673" s="86">
        <v>11975</v>
      </c>
      <c r="AE673" s="86">
        <v>11975</v>
      </c>
      <c r="AF673" s="70" t="s">
        <v>8347</v>
      </c>
      <c r="AG673" s="17" t="s">
        <v>8348</v>
      </c>
      <c r="AH673" s="17" t="s">
        <v>6686</v>
      </c>
      <c r="AI673" s="70" t="s">
        <v>94</v>
      </c>
      <c r="AJ673" s="17" t="s">
        <v>94</v>
      </c>
      <c r="AK673" s="17" t="s">
        <v>95</v>
      </c>
      <c r="AL673" s="17" t="s">
        <v>95</v>
      </c>
      <c r="AM673" s="17" t="s">
        <v>94</v>
      </c>
      <c r="AN673" s="17" t="s">
        <v>94</v>
      </c>
      <c r="AO673" s="17" t="s">
        <v>98</v>
      </c>
      <c r="AP673" s="17" t="s">
        <v>98</v>
      </c>
      <c r="AQ673" s="17" t="s">
        <v>98</v>
      </c>
      <c r="AR673" s="17" t="s">
        <v>94</v>
      </c>
      <c r="AS673" s="17" t="s">
        <v>8349</v>
      </c>
      <c r="AT673" s="17"/>
      <c r="AU673" s="30" t="s">
        <v>8350</v>
      </c>
      <c r="AV673" s="14">
        <v>11886</v>
      </c>
      <c r="AW673" s="74"/>
      <c r="AX673" s="1"/>
      <c r="AY673" s="17" t="s">
        <v>101</v>
      </c>
    </row>
    <row r="674" spans="1:51" ht="15" customHeight="1" x14ac:dyDescent="0.25">
      <c r="A674" s="5">
        <v>647</v>
      </c>
      <c r="B674" s="9">
        <v>647</v>
      </c>
      <c r="C674" s="9" t="s">
        <v>8351</v>
      </c>
      <c r="D674" s="57" t="str">
        <f>HYPERLINK("http://prodenv.dep.state.fl.us/DepNexus/public/electronic-documents/OG_647/facility!search","OG_647_Docs")</f>
        <v>OG_647_Docs</v>
      </c>
      <c r="E674" s="57" t="str">
        <f>HYPERLINK("https://ca.dep.state.fl.us/mapdirect/?focus=oilandgas&amp;zoom=query&amp;querytype=oilandgas&amp;queryvalues=OG_647","OG_647_Map")</f>
        <v>OG_647_Map</v>
      </c>
      <c r="F674" s="1" t="s">
        <v>1682</v>
      </c>
      <c r="G674" s="1" t="s">
        <v>79</v>
      </c>
      <c r="H674" s="1" t="s">
        <v>7836</v>
      </c>
      <c r="I674" s="1" t="s">
        <v>8352</v>
      </c>
      <c r="J674" s="17" t="s">
        <v>82</v>
      </c>
      <c r="K674" s="17" t="s">
        <v>83</v>
      </c>
      <c r="L674" s="17"/>
      <c r="M674" s="17"/>
      <c r="N674" s="52" t="s">
        <v>8353</v>
      </c>
      <c r="O674" s="17" t="s">
        <v>86</v>
      </c>
      <c r="P674" s="17" t="s">
        <v>86</v>
      </c>
      <c r="Q674" s="81" t="s">
        <v>8354</v>
      </c>
      <c r="R674" s="11">
        <v>30.869402999999998</v>
      </c>
      <c r="S674" s="11">
        <v>-87.475936000000004</v>
      </c>
      <c r="T674" s="11" t="s">
        <v>8355</v>
      </c>
      <c r="U674" s="11" t="s">
        <v>8356</v>
      </c>
      <c r="V674" s="17" t="s">
        <v>8357</v>
      </c>
      <c r="W674" s="17" t="s">
        <v>110</v>
      </c>
      <c r="X674" s="70">
        <v>284</v>
      </c>
      <c r="Y674" s="70">
        <v>254</v>
      </c>
      <c r="Z674" s="13">
        <v>26715</v>
      </c>
      <c r="AA674" s="13">
        <v>26736</v>
      </c>
      <c r="AB674" s="13"/>
      <c r="AC674" s="13">
        <v>26862</v>
      </c>
      <c r="AD674" s="86">
        <v>17331</v>
      </c>
      <c r="AE674" s="86">
        <v>17331</v>
      </c>
      <c r="AF674" s="70" t="s">
        <v>8358</v>
      </c>
      <c r="AG674" s="17" t="s">
        <v>8359</v>
      </c>
      <c r="AH674" s="17" t="s">
        <v>8360</v>
      </c>
      <c r="AI674" s="70" t="s">
        <v>8361</v>
      </c>
      <c r="AJ674" s="17" t="s">
        <v>94</v>
      </c>
      <c r="AK674" s="17" t="s">
        <v>95</v>
      </c>
      <c r="AL674" s="17" t="s">
        <v>8362</v>
      </c>
      <c r="AM674" s="17" t="s">
        <v>94</v>
      </c>
      <c r="AN674" s="17" t="s">
        <v>94</v>
      </c>
      <c r="AO674" s="17" t="s">
        <v>98</v>
      </c>
      <c r="AP674" s="17" t="s">
        <v>98</v>
      </c>
      <c r="AQ674" s="17" t="s">
        <v>98</v>
      </c>
      <c r="AR674" s="17" t="s">
        <v>94</v>
      </c>
      <c r="AS674" s="17" t="s">
        <v>8363</v>
      </c>
      <c r="AT674" s="17"/>
      <c r="AU674" s="30" t="s">
        <v>8364</v>
      </c>
      <c r="AV674" s="14">
        <v>11873</v>
      </c>
      <c r="AW674" s="74"/>
      <c r="AX674" s="1"/>
      <c r="AY674" s="17" t="s">
        <v>101</v>
      </c>
    </row>
    <row r="675" spans="1:51" ht="12.75" customHeight="1" x14ac:dyDescent="0.25">
      <c r="A675" s="5">
        <v>648</v>
      </c>
      <c r="B675" s="9">
        <v>648</v>
      </c>
      <c r="C675" s="9" t="s">
        <v>8365</v>
      </c>
      <c r="D675" s="57" t="str">
        <f>HYPERLINK("http://prodenv.dep.state.fl.us/DepNexus/public/electronic-documents/OG_648/facility!search","OG_648_Docs")</f>
        <v>OG_648_Docs</v>
      </c>
      <c r="E675" s="57" t="str">
        <f>HYPERLINK("https://ca.dep.state.fl.us/mapdirect/?focus=oilandgas&amp;zoom=query&amp;querytype=oilandgas&amp;queryvalues=OG_648","OG_648_Map")</f>
        <v>OG_648_Map</v>
      </c>
      <c r="F675" s="1" t="s">
        <v>2026</v>
      </c>
      <c r="G675" s="1" t="s">
        <v>79</v>
      </c>
      <c r="H675" s="1" t="s">
        <v>8261</v>
      </c>
      <c r="I675" s="1" t="s">
        <v>8366</v>
      </c>
      <c r="J675" s="17" t="s">
        <v>82</v>
      </c>
      <c r="K675" s="17" t="s">
        <v>83</v>
      </c>
      <c r="L675" s="17"/>
      <c r="M675" s="17" t="s">
        <v>101</v>
      </c>
      <c r="N675" s="52" t="s">
        <v>86</v>
      </c>
      <c r="O675" s="17" t="s">
        <v>86</v>
      </c>
      <c r="P675" s="17" t="s">
        <v>86</v>
      </c>
      <c r="Q675" s="81" t="s">
        <v>8367</v>
      </c>
      <c r="R675" s="11">
        <v>26.615134999999999</v>
      </c>
      <c r="S675" s="11">
        <v>-81.674981000000002</v>
      </c>
      <c r="T675" s="11" t="s">
        <v>8368</v>
      </c>
      <c r="U675" s="11" t="s">
        <v>8369</v>
      </c>
      <c r="V675" s="17" t="s">
        <v>8370</v>
      </c>
      <c r="W675" s="17" t="s">
        <v>110</v>
      </c>
      <c r="X675" s="70">
        <v>35.799999999999997</v>
      </c>
      <c r="Y675" s="70">
        <v>20.5</v>
      </c>
      <c r="Z675" s="13">
        <v>26715</v>
      </c>
      <c r="AA675" s="13">
        <v>26750</v>
      </c>
      <c r="AB675" s="13"/>
      <c r="AC675" s="13">
        <v>26799</v>
      </c>
      <c r="AD675" s="86">
        <v>11651</v>
      </c>
      <c r="AE675" s="86">
        <v>11651</v>
      </c>
      <c r="AF675" s="70" t="s">
        <v>5267</v>
      </c>
      <c r="AG675" s="17" t="s">
        <v>8371</v>
      </c>
      <c r="AH675" s="23" t="s">
        <v>8372</v>
      </c>
      <c r="AI675" s="70" t="s">
        <v>94</v>
      </c>
      <c r="AJ675" s="17" t="s">
        <v>94</v>
      </c>
      <c r="AK675" s="17" t="s">
        <v>95</v>
      </c>
      <c r="AL675" s="17" t="s">
        <v>8373</v>
      </c>
      <c r="AM675" s="17" t="s">
        <v>94</v>
      </c>
      <c r="AN675" s="17" t="s">
        <v>94</v>
      </c>
      <c r="AO675" s="17" t="s">
        <v>98</v>
      </c>
      <c r="AP675" s="17" t="s">
        <v>98</v>
      </c>
      <c r="AQ675" s="17" t="s">
        <v>98</v>
      </c>
      <c r="AR675" s="17" t="s">
        <v>94</v>
      </c>
      <c r="AS675" s="17" t="s">
        <v>8374</v>
      </c>
      <c r="AT675" s="17"/>
      <c r="AU675" s="30" t="s">
        <v>8375</v>
      </c>
      <c r="AV675" s="14">
        <v>11909</v>
      </c>
      <c r="AW675" s="74"/>
      <c r="AX675" s="1"/>
      <c r="AY675" s="17" t="s">
        <v>101</v>
      </c>
    </row>
    <row r="676" spans="1:51" ht="12.75" customHeight="1" x14ac:dyDescent="0.25">
      <c r="A676" s="5">
        <v>649</v>
      </c>
      <c r="B676" s="9">
        <v>649</v>
      </c>
      <c r="C676" s="9" t="s">
        <v>8376</v>
      </c>
      <c r="D676" s="57" t="str">
        <f>HYPERLINK("http://prodenv.dep.state.fl.us/DepNexus/public/electronic-documents/OG_649/facility!search","OG_649_Docs")</f>
        <v>OG_649_Docs</v>
      </c>
      <c r="E676" s="57" t="str">
        <f>HYPERLINK("https://ca.dep.state.fl.us/mapdirect/?focus=oilandgas&amp;zoom=query&amp;querytype=oilandgas&amp;queryvalues=OG_649","OG_649_Map")</f>
        <v>OG_649_Map</v>
      </c>
      <c r="F676" s="1" t="s">
        <v>8377</v>
      </c>
      <c r="G676" s="1" t="s">
        <v>79</v>
      </c>
      <c r="H676" s="1" t="s">
        <v>8378</v>
      </c>
      <c r="I676" s="1" t="s">
        <v>8379</v>
      </c>
      <c r="J676" s="17" t="s">
        <v>82</v>
      </c>
      <c r="K676" s="17" t="s">
        <v>83</v>
      </c>
      <c r="L676" s="17"/>
      <c r="M676" s="17"/>
      <c r="N676" s="52" t="s">
        <v>5016</v>
      </c>
      <c r="O676" s="17" t="s">
        <v>86</v>
      </c>
      <c r="P676" s="17" t="s">
        <v>86</v>
      </c>
      <c r="Q676" s="81" t="s">
        <v>8380</v>
      </c>
      <c r="R676" s="11">
        <v>30.042242000000002</v>
      </c>
      <c r="S676" s="11">
        <v>-82.528554999999997</v>
      </c>
      <c r="T676" s="11" t="s">
        <v>8381</v>
      </c>
      <c r="U676" s="11" t="s">
        <v>8382</v>
      </c>
      <c r="V676" s="17" t="s">
        <v>8383</v>
      </c>
      <c r="W676" s="17" t="s">
        <v>110</v>
      </c>
      <c r="X676" s="70">
        <v>138.5</v>
      </c>
      <c r="Y676" s="70">
        <v>127</v>
      </c>
      <c r="Z676" s="13">
        <v>26730</v>
      </c>
      <c r="AA676" s="13">
        <v>26796</v>
      </c>
      <c r="AB676" s="13">
        <v>26808</v>
      </c>
      <c r="AC676" s="13">
        <v>26808</v>
      </c>
      <c r="AD676" s="86">
        <v>3037</v>
      </c>
      <c r="AE676" s="86">
        <v>3037</v>
      </c>
      <c r="AF676" s="70" t="s">
        <v>8384</v>
      </c>
      <c r="AG676" s="17" t="s">
        <v>8385</v>
      </c>
      <c r="AH676" s="17" t="s">
        <v>94</v>
      </c>
      <c r="AI676" s="70" t="s">
        <v>94</v>
      </c>
      <c r="AJ676" s="17" t="s">
        <v>94</v>
      </c>
      <c r="AK676" s="17" t="s">
        <v>94</v>
      </c>
      <c r="AL676" s="17" t="s">
        <v>94</v>
      </c>
      <c r="AM676" s="17" t="s">
        <v>94</v>
      </c>
      <c r="AN676" s="17" t="s">
        <v>94</v>
      </c>
      <c r="AO676" s="17" t="s">
        <v>98</v>
      </c>
      <c r="AP676" s="17" t="s">
        <v>98</v>
      </c>
      <c r="AQ676" s="17" t="s">
        <v>98</v>
      </c>
      <c r="AR676" s="17" t="s">
        <v>94</v>
      </c>
      <c r="AS676" s="17" t="s">
        <v>8386</v>
      </c>
      <c r="AT676" s="17">
        <v>105</v>
      </c>
      <c r="AU676" s="30" t="s">
        <v>8387</v>
      </c>
      <c r="AV676" s="14" t="s">
        <v>94</v>
      </c>
      <c r="AW676" s="74"/>
      <c r="AX676" s="1"/>
      <c r="AY676" s="17" t="s">
        <v>101</v>
      </c>
    </row>
    <row r="677" spans="1:51" ht="12.75" customHeight="1" x14ac:dyDescent="0.25">
      <c r="A677" s="5">
        <v>650</v>
      </c>
      <c r="B677" s="9">
        <v>650</v>
      </c>
      <c r="C677" s="9" t="s">
        <v>8388</v>
      </c>
      <c r="D677" s="57" t="str">
        <f>HYPERLINK("http://prodenv.dep.state.fl.us/DepNexus/public/electronic-documents/OG_650/facility!search","OG_650_Docs")</f>
        <v>OG_650_Docs</v>
      </c>
      <c r="E677" s="57" t="str">
        <f>HYPERLINK("https://ca.dep.state.fl.us/mapdirect/?focus=oilandgas&amp;zoom=query&amp;querytype=oilandgas&amp;queryvalues=OG_650","OG_650_Map")</f>
        <v>OG_650_Map</v>
      </c>
      <c r="F677" s="1" t="s">
        <v>8377</v>
      </c>
      <c r="G677" s="1" t="s">
        <v>79</v>
      </c>
      <c r="H677" s="1" t="s">
        <v>8378</v>
      </c>
      <c r="I677" s="1" t="s">
        <v>8389</v>
      </c>
      <c r="J677" s="17" t="s">
        <v>82</v>
      </c>
      <c r="K677" s="17" t="s">
        <v>83</v>
      </c>
      <c r="L677" s="17"/>
      <c r="M677" s="17"/>
      <c r="N677" s="52" t="s">
        <v>5016</v>
      </c>
      <c r="O677" s="17" t="s">
        <v>86</v>
      </c>
      <c r="P677" s="17" t="s">
        <v>86</v>
      </c>
      <c r="Q677" s="81" t="s">
        <v>8390</v>
      </c>
      <c r="R677" s="11">
        <v>30.002672</v>
      </c>
      <c r="S677" s="11">
        <v>-82.512099000000006</v>
      </c>
      <c r="T677" s="11" t="s">
        <v>8391</v>
      </c>
      <c r="U677" s="11" t="s">
        <v>8392</v>
      </c>
      <c r="V677" s="17" t="s">
        <v>8393</v>
      </c>
      <c r="W677" s="17" t="s">
        <v>110</v>
      </c>
      <c r="X677" s="70">
        <v>156</v>
      </c>
      <c r="Y677" s="70">
        <v>144</v>
      </c>
      <c r="Z677" s="13">
        <v>26730</v>
      </c>
      <c r="AA677" s="13">
        <v>26814</v>
      </c>
      <c r="AB677" s="13">
        <v>26826</v>
      </c>
      <c r="AC677" s="13">
        <v>26826</v>
      </c>
      <c r="AD677" s="86">
        <v>3015</v>
      </c>
      <c r="AE677" s="86">
        <v>3015</v>
      </c>
      <c r="AF677" s="70" t="s">
        <v>5629</v>
      </c>
      <c r="AG677" s="17" t="s">
        <v>8394</v>
      </c>
      <c r="AH677" s="17" t="s">
        <v>94</v>
      </c>
      <c r="AI677" s="70" t="s">
        <v>94</v>
      </c>
      <c r="AJ677" s="17" t="s">
        <v>94</v>
      </c>
      <c r="AK677" s="17" t="s">
        <v>95</v>
      </c>
      <c r="AL677" s="17" t="s">
        <v>94</v>
      </c>
      <c r="AM677" s="17" t="s">
        <v>94</v>
      </c>
      <c r="AN677" s="17" t="s">
        <v>94</v>
      </c>
      <c r="AO677" s="17" t="s">
        <v>98</v>
      </c>
      <c r="AP677" s="17" t="s">
        <v>98</v>
      </c>
      <c r="AQ677" s="17" t="s">
        <v>98</v>
      </c>
      <c r="AR677" s="17" t="s">
        <v>94</v>
      </c>
      <c r="AS677" s="17" t="s">
        <v>8395</v>
      </c>
      <c r="AT677" s="17">
        <v>100</v>
      </c>
      <c r="AU677" s="30" t="s">
        <v>8396</v>
      </c>
      <c r="AV677" s="14">
        <v>11870</v>
      </c>
      <c r="AW677" s="74"/>
      <c r="AX677" s="1"/>
      <c r="AY677" s="17" t="s">
        <v>101</v>
      </c>
    </row>
    <row r="678" spans="1:51" ht="12.75" customHeight="1" x14ac:dyDescent="0.25">
      <c r="A678" s="5">
        <v>651</v>
      </c>
      <c r="B678" s="9">
        <v>651</v>
      </c>
      <c r="C678" s="9" t="s">
        <v>8397</v>
      </c>
      <c r="D678" s="57" t="str">
        <f>HYPERLINK("http://prodenv.dep.state.fl.us/DepNexus/public/electronic-documents/OG_651/facility!search","OG_651_Docs")</f>
        <v>OG_651_Docs</v>
      </c>
      <c r="E678" s="57" t="str">
        <f>HYPERLINK("https://ca.dep.state.fl.us/mapdirect/?focus=oilandgas&amp;zoom=query&amp;querytype=oilandgas&amp;queryvalues=OG_651","OG_651_Map")</f>
        <v>OG_651_Map</v>
      </c>
      <c r="F678" s="1" t="s">
        <v>1041</v>
      </c>
      <c r="G678" s="1" t="s">
        <v>79</v>
      </c>
      <c r="H678" s="1" t="s">
        <v>8378</v>
      </c>
      <c r="I678" s="1" t="s">
        <v>8398</v>
      </c>
      <c r="J678" s="17" t="s">
        <v>207</v>
      </c>
      <c r="K678" s="17" t="s">
        <v>208</v>
      </c>
      <c r="L678" s="17"/>
      <c r="M678" s="17" t="s">
        <v>207</v>
      </c>
      <c r="N678" s="52" t="s">
        <v>86</v>
      </c>
      <c r="O678" s="17" t="s">
        <v>86</v>
      </c>
      <c r="P678" s="17" t="s">
        <v>86</v>
      </c>
      <c r="Q678" s="81" t="s">
        <v>8399</v>
      </c>
      <c r="R678" s="11">
        <v>30.202310000000001</v>
      </c>
      <c r="S678" s="11">
        <v>-82.614406000000002</v>
      </c>
      <c r="T678" s="11" t="s">
        <v>8400</v>
      </c>
      <c r="U678" s="11" t="s">
        <v>8401</v>
      </c>
      <c r="V678" s="17" t="s">
        <v>8402</v>
      </c>
      <c r="W678" s="17" t="s">
        <v>110</v>
      </c>
      <c r="X678" s="70"/>
      <c r="Y678" s="70"/>
      <c r="Z678" s="13">
        <v>26730</v>
      </c>
      <c r="AA678" s="13"/>
      <c r="AB678" s="13"/>
      <c r="AC678" s="13"/>
      <c r="AD678" s="86"/>
      <c r="AE678" s="70"/>
      <c r="AF678" s="70" t="s">
        <v>207</v>
      </c>
      <c r="AG678" s="14" t="s">
        <v>207</v>
      </c>
      <c r="AH678" s="14" t="s">
        <v>207</v>
      </c>
      <c r="AI678" s="70" t="s">
        <v>207</v>
      </c>
      <c r="AJ678" s="14" t="s">
        <v>207</v>
      </c>
      <c r="AK678" s="14" t="s">
        <v>207</v>
      </c>
      <c r="AL678" s="14" t="s">
        <v>207</v>
      </c>
      <c r="AM678" s="14" t="s">
        <v>207</v>
      </c>
      <c r="AN678" s="14" t="s">
        <v>207</v>
      </c>
      <c r="AO678" s="14" t="s">
        <v>207</v>
      </c>
      <c r="AP678" s="14" t="s">
        <v>207</v>
      </c>
      <c r="AQ678" s="14" t="s">
        <v>207</v>
      </c>
      <c r="AR678" s="14" t="s">
        <v>207</v>
      </c>
      <c r="AS678" s="14" t="s">
        <v>207</v>
      </c>
      <c r="AT678" s="14" t="s">
        <v>207</v>
      </c>
      <c r="AU678" s="30" t="s">
        <v>8403</v>
      </c>
      <c r="AV678" s="14" t="s">
        <v>207</v>
      </c>
      <c r="AW678" s="74"/>
      <c r="AX678" s="1"/>
      <c r="AY678" s="17" t="s">
        <v>101</v>
      </c>
    </row>
    <row r="679" spans="1:51" ht="12.75" customHeight="1" x14ac:dyDescent="0.25">
      <c r="A679" s="5">
        <v>652</v>
      </c>
      <c r="B679" s="9">
        <v>652</v>
      </c>
      <c r="C679" s="9" t="s">
        <v>8404</v>
      </c>
      <c r="D679" s="57" t="str">
        <f>HYPERLINK("http://prodenv.dep.state.fl.us/DepNexus/public/electronic-documents/OG_652/facility!search","OG_652_Docs")</f>
        <v>OG_652_Docs</v>
      </c>
      <c r="E679" s="57" t="str">
        <f>HYPERLINK("https://ca.dep.state.fl.us/mapdirect/?focus=oilandgas&amp;zoom=query&amp;querytype=oilandgas&amp;queryvalues=OG_652","OG_652_Map")</f>
        <v>OG_652_Map</v>
      </c>
      <c r="F679" s="1" t="s">
        <v>1041</v>
      </c>
      <c r="G679" s="1" t="s">
        <v>79</v>
      </c>
      <c r="H679" s="1" t="s">
        <v>8378</v>
      </c>
      <c r="I679" s="1" t="s">
        <v>8405</v>
      </c>
      <c r="J679" s="17" t="s">
        <v>207</v>
      </c>
      <c r="K679" s="17" t="s">
        <v>208</v>
      </c>
      <c r="L679" s="17"/>
      <c r="M679" s="17" t="s">
        <v>207</v>
      </c>
      <c r="N679" s="52" t="s">
        <v>86</v>
      </c>
      <c r="O679" s="17" t="s">
        <v>86</v>
      </c>
      <c r="P679" s="17" t="s">
        <v>86</v>
      </c>
      <c r="Q679" s="81" t="s">
        <v>8406</v>
      </c>
      <c r="R679" s="11">
        <v>30.253005999999999</v>
      </c>
      <c r="S679" s="11">
        <v>-82.619819000000007</v>
      </c>
      <c r="T679" s="11" t="s">
        <v>8407</v>
      </c>
      <c r="U679" s="11" t="s">
        <v>8408</v>
      </c>
      <c r="V679" s="17" t="s">
        <v>8409</v>
      </c>
      <c r="W679" s="17" t="s">
        <v>110</v>
      </c>
      <c r="X679" s="70"/>
      <c r="Y679" s="70"/>
      <c r="Z679" s="13">
        <v>26730</v>
      </c>
      <c r="AA679" s="13"/>
      <c r="AB679" s="13"/>
      <c r="AC679" s="13"/>
      <c r="AD679" s="86"/>
      <c r="AE679" s="70"/>
      <c r="AF679" s="70" t="s">
        <v>207</v>
      </c>
      <c r="AG679" s="14" t="s">
        <v>207</v>
      </c>
      <c r="AH679" s="14" t="s">
        <v>207</v>
      </c>
      <c r="AI679" s="70" t="s">
        <v>207</v>
      </c>
      <c r="AJ679" s="14" t="s">
        <v>207</v>
      </c>
      <c r="AK679" s="14" t="s">
        <v>207</v>
      </c>
      <c r="AL679" s="14" t="s">
        <v>207</v>
      </c>
      <c r="AM679" s="14" t="s">
        <v>207</v>
      </c>
      <c r="AN679" s="14" t="s">
        <v>207</v>
      </c>
      <c r="AO679" s="14" t="s">
        <v>207</v>
      </c>
      <c r="AP679" s="14" t="s">
        <v>207</v>
      </c>
      <c r="AQ679" s="14" t="s">
        <v>207</v>
      </c>
      <c r="AR679" s="14" t="s">
        <v>207</v>
      </c>
      <c r="AS679" s="14" t="s">
        <v>207</v>
      </c>
      <c r="AT679" s="14" t="s">
        <v>207</v>
      </c>
      <c r="AU679" s="30" t="s">
        <v>8410</v>
      </c>
      <c r="AV679" s="14" t="s">
        <v>207</v>
      </c>
      <c r="AW679" s="74"/>
      <c r="AX679" s="1"/>
      <c r="AY679" s="17" t="s">
        <v>101</v>
      </c>
    </row>
    <row r="680" spans="1:51" ht="12.75" customHeight="1" x14ac:dyDescent="0.25">
      <c r="A680" s="5">
        <v>653</v>
      </c>
      <c r="B680" s="9">
        <v>653</v>
      </c>
      <c r="C680" s="9" t="s">
        <v>8411</v>
      </c>
      <c r="D680" s="57" t="str">
        <f>HYPERLINK("http://prodenv.dep.state.fl.us/DepNexus/public/electronic-documents/OG_653/facility!search","OG_653_Docs")</f>
        <v>OG_653_Docs</v>
      </c>
      <c r="E680" s="57" t="str">
        <f>HYPERLINK("https://ca.dep.state.fl.us/mapdirect/?focus=oilandgas&amp;zoom=query&amp;querytype=oilandgas&amp;queryvalues=OG_653","OG_653_Map")</f>
        <v>OG_653_Map</v>
      </c>
      <c r="F680" s="1" t="s">
        <v>1041</v>
      </c>
      <c r="G680" s="1" t="s">
        <v>79</v>
      </c>
      <c r="H680" s="1" t="s">
        <v>8378</v>
      </c>
      <c r="I680" s="1" t="s">
        <v>8412</v>
      </c>
      <c r="J680" s="17" t="s">
        <v>82</v>
      </c>
      <c r="K680" s="17" t="s">
        <v>83</v>
      </c>
      <c r="L680" s="17"/>
      <c r="M680" s="17"/>
      <c r="N680" s="52" t="s">
        <v>5016</v>
      </c>
      <c r="O680" s="17" t="s">
        <v>86</v>
      </c>
      <c r="P680" s="17" t="s">
        <v>86</v>
      </c>
      <c r="Q680" s="81" t="s">
        <v>8413</v>
      </c>
      <c r="R680" s="11">
        <v>30.216761000000002</v>
      </c>
      <c r="S680" s="11">
        <v>-82.610532000000006</v>
      </c>
      <c r="T680" s="11" t="s">
        <v>8414</v>
      </c>
      <c r="U680" s="11" t="s">
        <v>8415</v>
      </c>
      <c r="V680" s="17" t="s">
        <v>8416</v>
      </c>
      <c r="W680" s="17" t="s">
        <v>110</v>
      </c>
      <c r="X680" s="70">
        <v>190.6</v>
      </c>
      <c r="Y680" s="70">
        <v>177</v>
      </c>
      <c r="Z680" s="13">
        <v>26730</v>
      </c>
      <c r="AA680" s="13">
        <v>26777</v>
      </c>
      <c r="AB680" s="13">
        <v>26788</v>
      </c>
      <c r="AC680" s="13">
        <v>26788</v>
      </c>
      <c r="AD680" s="86">
        <v>5047</v>
      </c>
      <c r="AE680" s="86">
        <v>5047</v>
      </c>
      <c r="AF680" s="70" t="s">
        <v>6520</v>
      </c>
      <c r="AG680" s="17" t="s">
        <v>8417</v>
      </c>
      <c r="AH680" s="17" t="s">
        <v>94</v>
      </c>
      <c r="AI680" s="70" t="s">
        <v>94</v>
      </c>
      <c r="AJ680" s="17" t="s">
        <v>94</v>
      </c>
      <c r="AK680" s="17" t="s">
        <v>95</v>
      </c>
      <c r="AL680" s="17" t="s">
        <v>94</v>
      </c>
      <c r="AM680" s="17" t="s">
        <v>94</v>
      </c>
      <c r="AN680" s="17" t="s">
        <v>94</v>
      </c>
      <c r="AO680" s="17" t="s">
        <v>98</v>
      </c>
      <c r="AP680" s="17" t="s">
        <v>98</v>
      </c>
      <c r="AQ680" s="17" t="s">
        <v>98</v>
      </c>
      <c r="AR680" s="17" t="s">
        <v>94</v>
      </c>
      <c r="AS680" s="17" t="s">
        <v>8418</v>
      </c>
      <c r="AT680" s="17">
        <v>102</v>
      </c>
      <c r="AU680" s="30" t="s">
        <v>8419</v>
      </c>
      <c r="AV680" s="14">
        <v>11830</v>
      </c>
      <c r="AW680" s="74"/>
      <c r="AX680" s="1"/>
      <c r="AY680" s="17" t="s">
        <v>101</v>
      </c>
    </row>
    <row r="681" spans="1:51" ht="12.75" customHeight="1" x14ac:dyDescent="0.25">
      <c r="A681" s="5">
        <v>654</v>
      </c>
      <c r="B681" s="9">
        <v>654</v>
      </c>
      <c r="C681" s="9" t="s">
        <v>8420</v>
      </c>
      <c r="D681" s="57" t="str">
        <f>HYPERLINK("http://prodenv.dep.state.fl.us/DepNexus/public/electronic-documents/OG_654/facility!search","OG_654_Docs")</f>
        <v>OG_654_Docs</v>
      </c>
      <c r="E681" s="57" t="str">
        <f>HYPERLINK("https://ca.dep.state.fl.us/mapdirect/?focus=oilandgas&amp;zoom=query&amp;querytype=oilandgas&amp;queryvalues=OG_654","OG_654_Map")</f>
        <v>OG_654_Map</v>
      </c>
      <c r="F681" s="1" t="s">
        <v>1041</v>
      </c>
      <c r="G681" s="1" t="s">
        <v>79</v>
      </c>
      <c r="H681" s="1" t="s">
        <v>8378</v>
      </c>
      <c r="I681" s="1" t="s">
        <v>8421</v>
      </c>
      <c r="J681" s="17" t="s">
        <v>207</v>
      </c>
      <c r="K681" s="17" t="s">
        <v>208</v>
      </c>
      <c r="L681" s="17"/>
      <c r="M681" s="17" t="s">
        <v>207</v>
      </c>
      <c r="N681" s="52" t="s">
        <v>86</v>
      </c>
      <c r="O681" s="17" t="s">
        <v>86</v>
      </c>
      <c r="P681" s="17" t="s">
        <v>86</v>
      </c>
      <c r="Q681" s="81" t="s">
        <v>8422</v>
      </c>
      <c r="R681" s="11">
        <v>30.090119999999999</v>
      </c>
      <c r="S681" s="11">
        <v>-82.528352999999996</v>
      </c>
      <c r="T681" s="11" t="s">
        <v>8423</v>
      </c>
      <c r="U681" s="11" t="s">
        <v>8424</v>
      </c>
      <c r="V681" s="17" t="s">
        <v>8425</v>
      </c>
      <c r="W681" s="17" t="s">
        <v>110</v>
      </c>
      <c r="X681" s="70"/>
      <c r="Y681" s="70"/>
      <c r="Z681" s="13">
        <v>26730</v>
      </c>
      <c r="AA681" s="13"/>
      <c r="AB681" s="13"/>
      <c r="AC681" s="13"/>
      <c r="AD681" s="86"/>
      <c r="AE681" s="70"/>
      <c r="AF681" s="70" t="s">
        <v>207</v>
      </c>
      <c r="AG681" s="14" t="s">
        <v>207</v>
      </c>
      <c r="AH681" s="14" t="s">
        <v>207</v>
      </c>
      <c r="AI681" s="70" t="s">
        <v>207</v>
      </c>
      <c r="AJ681" s="14" t="s">
        <v>207</v>
      </c>
      <c r="AK681" s="14" t="s">
        <v>207</v>
      </c>
      <c r="AL681" s="14" t="s">
        <v>207</v>
      </c>
      <c r="AM681" s="14" t="s">
        <v>207</v>
      </c>
      <c r="AN681" s="14" t="s">
        <v>207</v>
      </c>
      <c r="AO681" s="14" t="s">
        <v>207</v>
      </c>
      <c r="AP681" s="14" t="s">
        <v>207</v>
      </c>
      <c r="AQ681" s="14" t="s">
        <v>207</v>
      </c>
      <c r="AR681" s="14" t="s">
        <v>207</v>
      </c>
      <c r="AS681" s="14" t="s">
        <v>207</v>
      </c>
      <c r="AT681" s="14" t="s">
        <v>207</v>
      </c>
      <c r="AU681" s="30" t="s">
        <v>8426</v>
      </c>
      <c r="AV681" s="14" t="s">
        <v>207</v>
      </c>
      <c r="AW681" s="74"/>
      <c r="AX681" s="1"/>
      <c r="AY681" s="17" t="s">
        <v>101</v>
      </c>
    </row>
    <row r="682" spans="1:51" ht="12.75" customHeight="1" x14ac:dyDescent="0.25">
      <c r="A682" s="5">
        <v>655</v>
      </c>
      <c r="B682" s="9">
        <v>655</v>
      </c>
      <c r="C682" s="9" t="s">
        <v>8427</v>
      </c>
      <c r="D682" s="57" t="str">
        <f>HYPERLINK("http://prodenv.dep.state.fl.us/DepNexus/public/electronic-documents/OG_655/facility!search","OG_655_Docs")</f>
        <v>OG_655_Docs</v>
      </c>
      <c r="E682" s="57" t="str">
        <f>HYPERLINK("https://ca.dep.state.fl.us/mapdirect/?focus=oilandgas&amp;zoom=query&amp;querytype=oilandgas&amp;queryvalues=OG_655","OG_655_Map")</f>
        <v>OG_655_Map</v>
      </c>
      <c r="F682" s="1" t="s">
        <v>1752</v>
      </c>
      <c r="G682" s="1" t="s">
        <v>4496</v>
      </c>
      <c r="H682" s="1" t="s">
        <v>5029</v>
      </c>
      <c r="I682" s="1" t="s">
        <v>8428</v>
      </c>
      <c r="J682" s="17" t="s">
        <v>268</v>
      </c>
      <c r="K682" s="17" t="s">
        <v>2105</v>
      </c>
      <c r="L682" s="17"/>
      <c r="M682" s="17"/>
      <c r="N682" s="52" t="s">
        <v>3956</v>
      </c>
      <c r="O682" s="17" t="s">
        <v>86</v>
      </c>
      <c r="P682" s="17" t="s">
        <v>86</v>
      </c>
      <c r="Q682" s="81" t="s">
        <v>8303</v>
      </c>
      <c r="R682" s="11">
        <v>26.551506</v>
      </c>
      <c r="S682" s="11">
        <v>-81.561425999999997</v>
      </c>
      <c r="T682" s="11" t="s">
        <v>8429</v>
      </c>
      <c r="U682" s="11" t="s">
        <v>8430</v>
      </c>
      <c r="V682" s="17" t="s">
        <v>8431</v>
      </c>
      <c r="W682" s="17" t="s">
        <v>110</v>
      </c>
      <c r="X682" s="70">
        <v>45.4</v>
      </c>
      <c r="Y682" s="70">
        <v>30.4</v>
      </c>
      <c r="Z682" s="13">
        <v>26730</v>
      </c>
      <c r="AA682" s="13">
        <v>26906</v>
      </c>
      <c r="AB682" s="13">
        <v>26943</v>
      </c>
      <c r="AC682" s="13">
        <v>35879</v>
      </c>
      <c r="AD682" s="86">
        <v>11580</v>
      </c>
      <c r="AE682" s="86">
        <v>11580</v>
      </c>
      <c r="AF682" s="70" t="s">
        <v>8432</v>
      </c>
      <c r="AG682" s="17" t="s">
        <v>8433</v>
      </c>
      <c r="AH682" s="17" t="s">
        <v>4816</v>
      </c>
      <c r="AI682" s="70" t="s">
        <v>8434</v>
      </c>
      <c r="AJ682" s="17" t="s">
        <v>94</v>
      </c>
      <c r="AK682" s="17" t="s">
        <v>94</v>
      </c>
      <c r="AL682" s="17" t="s">
        <v>8435</v>
      </c>
      <c r="AM682" s="17" t="s">
        <v>95</v>
      </c>
      <c r="AN682" s="17" t="s">
        <v>94</v>
      </c>
      <c r="AO682" s="17" t="s">
        <v>8436</v>
      </c>
      <c r="AP682" s="17" t="s">
        <v>8437</v>
      </c>
      <c r="AQ682" s="17" t="s">
        <v>8438</v>
      </c>
      <c r="AR682" s="17" t="s">
        <v>8439</v>
      </c>
      <c r="AS682" s="17" t="s">
        <v>8440</v>
      </c>
      <c r="AT682" s="17"/>
      <c r="AU682" s="30" t="s">
        <v>8441</v>
      </c>
      <c r="AV682" s="14">
        <v>12089</v>
      </c>
      <c r="AW682" s="74"/>
      <c r="AX682" s="1"/>
      <c r="AY682" s="17" t="s">
        <v>101</v>
      </c>
    </row>
    <row r="683" spans="1:51" ht="12.75" customHeight="1" x14ac:dyDescent="0.25">
      <c r="A683" s="5">
        <v>656</v>
      </c>
      <c r="B683" s="9">
        <v>656</v>
      </c>
      <c r="C683" s="9" t="s">
        <v>8442</v>
      </c>
      <c r="D683" s="57" t="str">
        <f>HYPERLINK("http://prodenv.dep.state.fl.us/DepNexus/public/electronic-documents/OG_656/facility!search","OG_656_Docs")</f>
        <v>OG_656_Docs</v>
      </c>
      <c r="E683" s="57" t="str">
        <f>HYPERLINK("https://ca.dep.state.fl.us/mapdirect/?focus=oilandgas&amp;zoom=query&amp;querytype=oilandgas&amp;queryvalues=OG_656","OG_656_Map")</f>
        <v>OG_656_Map</v>
      </c>
      <c r="F683" s="1" t="s">
        <v>1797</v>
      </c>
      <c r="G683" s="1" t="s">
        <v>6648</v>
      </c>
      <c r="H683" s="1" t="s">
        <v>128</v>
      </c>
      <c r="I683" s="1" t="s">
        <v>8443</v>
      </c>
      <c r="J683" s="17" t="s">
        <v>207</v>
      </c>
      <c r="K683" s="17" t="s">
        <v>208</v>
      </c>
      <c r="L683" s="17"/>
      <c r="M683" s="17" t="s">
        <v>207</v>
      </c>
      <c r="N683" s="52" t="s">
        <v>86</v>
      </c>
      <c r="O683" s="17" t="s">
        <v>86</v>
      </c>
      <c r="P683" s="17" t="s">
        <v>86</v>
      </c>
      <c r="Q683" s="81" t="s">
        <v>8444</v>
      </c>
      <c r="R683" s="11">
        <v>30.840536</v>
      </c>
      <c r="S683" s="11">
        <v>-87.110069999999993</v>
      </c>
      <c r="T683" s="11" t="s">
        <v>8445</v>
      </c>
      <c r="U683" s="11" t="s">
        <v>8446</v>
      </c>
      <c r="V683" s="17" t="s">
        <v>8447</v>
      </c>
      <c r="W683" s="17" t="s">
        <v>110</v>
      </c>
      <c r="X683" s="70"/>
      <c r="Y683" s="70"/>
      <c r="Z683" s="13">
        <v>26743</v>
      </c>
      <c r="AA683" s="13"/>
      <c r="AB683" s="13"/>
      <c r="AC683" s="13"/>
      <c r="AD683" s="86"/>
      <c r="AE683" s="70"/>
      <c r="AF683" s="70" t="s">
        <v>207</v>
      </c>
      <c r="AG683" s="14" t="s">
        <v>207</v>
      </c>
      <c r="AH683" s="14" t="s">
        <v>207</v>
      </c>
      <c r="AI683" s="70" t="s">
        <v>207</v>
      </c>
      <c r="AJ683" s="14" t="s">
        <v>207</v>
      </c>
      <c r="AK683" s="14" t="s">
        <v>207</v>
      </c>
      <c r="AL683" s="14" t="s">
        <v>207</v>
      </c>
      <c r="AM683" s="14" t="s">
        <v>207</v>
      </c>
      <c r="AN683" s="14" t="s">
        <v>207</v>
      </c>
      <c r="AO683" s="14" t="s">
        <v>207</v>
      </c>
      <c r="AP683" s="14" t="s">
        <v>207</v>
      </c>
      <c r="AQ683" s="14" t="s">
        <v>207</v>
      </c>
      <c r="AR683" s="14" t="s">
        <v>207</v>
      </c>
      <c r="AS683" s="14" t="s">
        <v>207</v>
      </c>
      <c r="AT683" s="17"/>
      <c r="AU683" s="30" t="s">
        <v>8448</v>
      </c>
      <c r="AV683" s="14" t="s">
        <v>207</v>
      </c>
      <c r="AW683" s="74"/>
      <c r="AX683" s="1"/>
      <c r="AY683" s="17" t="s">
        <v>101</v>
      </c>
    </row>
    <row r="684" spans="1:51" ht="15" customHeight="1" x14ac:dyDescent="0.25">
      <c r="A684" s="5">
        <v>657</v>
      </c>
      <c r="B684" s="9">
        <v>657</v>
      </c>
      <c r="C684" s="9" t="s">
        <v>8449</v>
      </c>
      <c r="D684" s="57" t="str">
        <f>HYPERLINK("http://prodenv.dep.state.fl.us/DepNexus/public/electronic-documents/OG_657/facility!search","OG_657_Docs")</f>
        <v>OG_657_Docs</v>
      </c>
      <c r="E684" s="57" t="str">
        <f>HYPERLINK("https://ca.dep.state.fl.us/mapdirect/?focus=oilandgas&amp;zoom=query&amp;querytype=oilandgas&amp;queryvalues=OG_657","OG_657_Map")</f>
        <v>OG_657_Map</v>
      </c>
      <c r="F684" s="1" t="s">
        <v>1797</v>
      </c>
      <c r="G684" s="1" t="s">
        <v>79</v>
      </c>
      <c r="H684" s="1" t="s">
        <v>8450</v>
      </c>
      <c r="I684" s="1" t="s">
        <v>8451</v>
      </c>
      <c r="J684" s="17" t="s">
        <v>82</v>
      </c>
      <c r="K684" s="17" t="s">
        <v>83</v>
      </c>
      <c r="L684" s="17"/>
      <c r="M684" s="17"/>
      <c r="N684" s="52" t="s">
        <v>7568</v>
      </c>
      <c r="O684" s="17" t="s">
        <v>86</v>
      </c>
      <c r="P684" s="17" t="s">
        <v>86</v>
      </c>
      <c r="Q684" s="81" t="s">
        <v>8452</v>
      </c>
      <c r="R684" s="11">
        <v>30.803063999999999</v>
      </c>
      <c r="S684" s="11">
        <v>-87.088337999999993</v>
      </c>
      <c r="T684" s="11" t="s">
        <v>8453</v>
      </c>
      <c r="U684" s="11" t="s">
        <v>8454</v>
      </c>
      <c r="V684" s="17" t="s">
        <v>8455</v>
      </c>
      <c r="W684" s="17" t="s">
        <v>110</v>
      </c>
      <c r="X684" s="70">
        <v>218.1</v>
      </c>
      <c r="Y684" s="70">
        <v>202</v>
      </c>
      <c r="Z684" s="13">
        <v>26758</v>
      </c>
      <c r="AA684" s="13">
        <v>26768</v>
      </c>
      <c r="AB684" s="13"/>
      <c r="AC684" s="13">
        <v>26829</v>
      </c>
      <c r="AD684" s="86">
        <v>16778</v>
      </c>
      <c r="AE684" s="86">
        <v>16778</v>
      </c>
      <c r="AF684" s="71" t="s">
        <v>8456</v>
      </c>
      <c r="AG684" s="17" t="s">
        <v>8457</v>
      </c>
      <c r="AH684" s="17" t="s">
        <v>94</v>
      </c>
      <c r="AI684" s="70" t="s">
        <v>94</v>
      </c>
      <c r="AJ684" s="17" t="s">
        <v>94</v>
      </c>
      <c r="AK684" s="17" t="s">
        <v>95</v>
      </c>
      <c r="AL684" s="17" t="s">
        <v>8458</v>
      </c>
      <c r="AM684" s="17" t="s">
        <v>95</v>
      </c>
      <c r="AN684" s="17" t="s">
        <v>94</v>
      </c>
      <c r="AO684" s="17" t="s">
        <v>98</v>
      </c>
      <c r="AP684" s="17" t="s">
        <v>98</v>
      </c>
      <c r="AQ684" s="17" t="s">
        <v>98</v>
      </c>
      <c r="AR684" s="17" t="s">
        <v>94</v>
      </c>
      <c r="AS684" s="17" t="s">
        <v>8459</v>
      </c>
      <c r="AT684" s="17"/>
      <c r="AU684" s="30" t="s">
        <v>8460</v>
      </c>
      <c r="AV684" s="14">
        <v>11871</v>
      </c>
      <c r="AW684" s="74"/>
      <c r="AX684" s="1"/>
      <c r="AY684" s="17" t="s">
        <v>101</v>
      </c>
    </row>
    <row r="685" spans="1:51" ht="12.75" customHeight="1" x14ac:dyDescent="0.25">
      <c r="A685" s="5">
        <v>658</v>
      </c>
      <c r="B685" s="9">
        <v>658</v>
      </c>
      <c r="C685" s="9" t="s">
        <v>8461</v>
      </c>
      <c r="D685" s="57" t="str">
        <f>HYPERLINK("http://prodenv.dep.state.fl.us/DepNexus/public/electronic-documents/OG_658/facility!search","OG_658_Docs")</f>
        <v>OG_658_Docs</v>
      </c>
      <c r="E685" s="57" t="str">
        <f>HYPERLINK("https://ca.dep.state.fl.us/mapdirect/?focus=oilandgas&amp;zoom=query&amp;querytype=oilandgas&amp;queryvalues=OG_658","OG_658_Map")</f>
        <v>OG_658_Map</v>
      </c>
      <c r="F685" s="1" t="s">
        <v>1797</v>
      </c>
      <c r="G685" s="1" t="s">
        <v>5133</v>
      </c>
      <c r="H685" s="1" t="s">
        <v>1363</v>
      </c>
      <c r="I685" s="1" t="s">
        <v>8462</v>
      </c>
      <c r="J685" s="17" t="s">
        <v>5135</v>
      </c>
      <c r="K685" s="17" t="s">
        <v>4266</v>
      </c>
      <c r="L685" s="17"/>
      <c r="M685" s="17"/>
      <c r="N685" s="52" t="s">
        <v>6046</v>
      </c>
      <c r="O685" s="17" t="s">
        <v>86</v>
      </c>
      <c r="P685" s="17" t="s">
        <v>86</v>
      </c>
      <c r="Q685" s="81" t="s">
        <v>8463</v>
      </c>
      <c r="R685" s="11">
        <v>30.990787000000001</v>
      </c>
      <c r="S685" s="11">
        <v>-87.158949000000007</v>
      </c>
      <c r="T685" s="11" t="s">
        <v>8464</v>
      </c>
      <c r="U685" s="11" t="s">
        <v>8465</v>
      </c>
      <c r="V685" s="17" t="s">
        <v>8466</v>
      </c>
      <c r="W685" s="17" t="s">
        <v>110</v>
      </c>
      <c r="X685" s="70">
        <v>90.9</v>
      </c>
      <c r="Y685" s="70">
        <v>63</v>
      </c>
      <c r="Z685" s="13">
        <v>26771</v>
      </c>
      <c r="AA685" s="13">
        <v>26789</v>
      </c>
      <c r="AB685" s="13">
        <v>26880</v>
      </c>
      <c r="AC685" s="13"/>
      <c r="AD685" s="86">
        <v>15830</v>
      </c>
      <c r="AE685" s="86">
        <v>15830</v>
      </c>
      <c r="AF685" s="70" t="s">
        <v>8467</v>
      </c>
      <c r="AG685" s="17" t="s">
        <v>8468</v>
      </c>
      <c r="AH685" s="17" t="s">
        <v>94</v>
      </c>
      <c r="AI685" s="70" t="s">
        <v>8469</v>
      </c>
      <c r="AJ685" s="17" t="s">
        <v>8470</v>
      </c>
      <c r="AK685" s="17" t="s">
        <v>95</v>
      </c>
      <c r="AL685" s="17" t="s">
        <v>8471</v>
      </c>
      <c r="AM685" s="17" t="s">
        <v>95</v>
      </c>
      <c r="AN685" s="17" t="s">
        <v>94</v>
      </c>
      <c r="AO685" s="17" t="s">
        <v>5794</v>
      </c>
      <c r="AP685" s="17" t="s">
        <v>8472</v>
      </c>
      <c r="AQ685" s="17" t="s">
        <v>8473</v>
      </c>
      <c r="AR685" s="17" t="s">
        <v>8474</v>
      </c>
      <c r="AS685" s="17"/>
      <c r="AT685" s="17"/>
      <c r="AU685" s="30" t="s">
        <v>8475</v>
      </c>
      <c r="AV685" s="14">
        <v>11927</v>
      </c>
      <c r="AW685" s="74">
        <v>309897</v>
      </c>
      <c r="AX685" s="1" t="s">
        <v>8476</v>
      </c>
      <c r="AY685" s="17" t="s">
        <v>101</v>
      </c>
    </row>
    <row r="686" spans="1:51" ht="12.75" customHeight="1" x14ac:dyDescent="0.25">
      <c r="A686" s="5">
        <v>659</v>
      </c>
      <c r="B686" s="9">
        <v>659</v>
      </c>
      <c r="C686" s="9" t="s">
        <v>8477</v>
      </c>
      <c r="D686" s="57" t="str">
        <f>HYPERLINK("http://prodenv.dep.state.fl.us/DepNexus/public/electronic-documents/OG_659/facility!search","OG_659_Docs")</f>
        <v>OG_659_Docs</v>
      </c>
      <c r="E686" s="57" t="str">
        <f>HYPERLINK("https://ca.dep.state.fl.us/mapdirect/?focus=oilandgas&amp;zoom=query&amp;querytype=oilandgas&amp;queryvalues=OG_659","OG_659_Map")</f>
        <v>OG_659_Map</v>
      </c>
      <c r="F686" s="1" t="s">
        <v>1797</v>
      </c>
      <c r="G686" s="1" t="s">
        <v>6648</v>
      </c>
      <c r="H686" s="1" t="s">
        <v>6668</v>
      </c>
      <c r="I686" s="1" t="s">
        <v>8478</v>
      </c>
      <c r="J686" s="17" t="s">
        <v>1476</v>
      </c>
      <c r="K686" s="17" t="s">
        <v>412</v>
      </c>
      <c r="L686" s="17"/>
      <c r="M686" s="17"/>
      <c r="N686" s="52" t="s">
        <v>7514</v>
      </c>
      <c r="O686" s="17" t="s">
        <v>86</v>
      </c>
      <c r="P686" s="17" t="s">
        <v>86</v>
      </c>
      <c r="Q686" s="81" t="s">
        <v>7735</v>
      </c>
      <c r="R686" s="11">
        <v>30.860779000000001</v>
      </c>
      <c r="S686" s="11">
        <v>-87.098713000000004</v>
      </c>
      <c r="T686" s="11" t="s">
        <v>8479</v>
      </c>
      <c r="U686" s="11" t="s">
        <v>8480</v>
      </c>
      <c r="V686" s="17" t="s">
        <v>8481</v>
      </c>
      <c r="W686" s="17" t="s">
        <v>8482</v>
      </c>
      <c r="X686" s="70">
        <v>206.2</v>
      </c>
      <c r="Y686" s="70">
        <v>186.3</v>
      </c>
      <c r="Z686" s="13">
        <v>26771</v>
      </c>
      <c r="AA686" s="13">
        <v>26798</v>
      </c>
      <c r="AB686" s="13">
        <v>26843</v>
      </c>
      <c r="AC686" s="13">
        <v>45896</v>
      </c>
      <c r="AD686" s="86">
        <v>16095</v>
      </c>
      <c r="AE686" s="86">
        <v>16103</v>
      </c>
      <c r="AF686" s="70" t="s">
        <v>8483</v>
      </c>
      <c r="AG686" s="17" t="s">
        <v>8484</v>
      </c>
      <c r="AH686" s="17" t="s">
        <v>94</v>
      </c>
      <c r="AI686" s="70" t="s">
        <v>8485</v>
      </c>
      <c r="AJ686" s="17" t="s">
        <v>8486</v>
      </c>
      <c r="AK686" s="17" t="s">
        <v>94</v>
      </c>
      <c r="AL686" s="17" t="s">
        <v>8487</v>
      </c>
      <c r="AM686" s="17" t="s">
        <v>95</v>
      </c>
      <c r="AN686" s="17" t="s">
        <v>94</v>
      </c>
      <c r="AO686" s="17" t="s">
        <v>8488</v>
      </c>
      <c r="AP686" s="17" t="s">
        <v>8489</v>
      </c>
      <c r="AQ686" s="17" t="s">
        <v>4988</v>
      </c>
      <c r="AR686" s="17" t="s">
        <v>8490</v>
      </c>
      <c r="AS686" s="17" t="s">
        <v>8491</v>
      </c>
      <c r="AT686" s="17"/>
      <c r="AU686" s="30" t="s">
        <v>8492</v>
      </c>
      <c r="AV686" s="14">
        <v>12016</v>
      </c>
      <c r="AW686" s="74">
        <v>303042</v>
      </c>
      <c r="AX686" s="1" t="s">
        <v>8493</v>
      </c>
      <c r="AY686" s="17" t="s">
        <v>101</v>
      </c>
    </row>
    <row r="687" spans="1:51" ht="15" customHeight="1" x14ac:dyDescent="0.25">
      <c r="A687" s="5">
        <v>660</v>
      </c>
      <c r="B687" s="9">
        <v>660</v>
      </c>
      <c r="C687" s="9" t="s">
        <v>8494</v>
      </c>
      <c r="D687" s="57" t="str">
        <f>HYPERLINK("http://prodenv.dep.state.fl.us/DepNexus/public/electronic-documents/OG_660/facility!search","OG_660_Docs")</f>
        <v>OG_660_Docs</v>
      </c>
      <c r="E687" s="57" t="str">
        <f>HYPERLINK("https://ca.dep.state.fl.us/mapdirect/?focus=oilandgas&amp;zoom=query&amp;querytype=oilandgas&amp;queryvalues=OG_660","OG_660_Map")</f>
        <v>OG_660_Map</v>
      </c>
      <c r="F687" s="1" t="s">
        <v>1797</v>
      </c>
      <c r="G687" s="1" t="s">
        <v>1798</v>
      </c>
      <c r="H687" s="1" t="s">
        <v>5605</v>
      </c>
      <c r="I687" s="1" t="s">
        <v>8495</v>
      </c>
      <c r="J687" s="17" t="s">
        <v>268</v>
      </c>
      <c r="K687" s="17" t="s">
        <v>412</v>
      </c>
      <c r="L687" s="17"/>
      <c r="M687" s="17"/>
      <c r="N687" s="52" t="s">
        <v>7514</v>
      </c>
      <c r="O687" s="17" t="s">
        <v>86</v>
      </c>
      <c r="P687" s="17" t="s">
        <v>86</v>
      </c>
      <c r="Q687" s="81" t="s">
        <v>8496</v>
      </c>
      <c r="R687" s="11">
        <v>30.990034999999999</v>
      </c>
      <c r="S687" s="11">
        <v>-87.129130000000004</v>
      </c>
      <c r="T687" s="11" t="s">
        <v>8497</v>
      </c>
      <c r="U687" s="11" t="s">
        <v>8498</v>
      </c>
      <c r="V687" s="17" t="s">
        <v>8499</v>
      </c>
      <c r="W687" s="17" t="s">
        <v>8500</v>
      </c>
      <c r="X687" s="70">
        <v>227.54</v>
      </c>
      <c r="Y687" s="70">
        <v>200.24</v>
      </c>
      <c r="Z687" s="13">
        <v>26799</v>
      </c>
      <c r="AA687" s="13">
        <v>26799</v>
      </c>
      <c r="AB687" s="13">
        <v>26876</v>
      </c>
      <c r="AC687" s="13">
        <v>30612</v>
      </c>
      <c r="AD687" s="86">
        <v>15216</v>
      </c>
      <c r="AE687" s="86">
        <v>15220</v>
      </c>
      <c r="AF687" s="70" t="s">
        <v>8501</v>
      </c>
      <c r="AG687" s="17" t="s">
        <v>8502</v>
      </c>
      <c r="AH687" s="17" t="s">
        <v>86</v>
      </c>
      <c r="AI687" s="70" t="s">
        <v>8129</v>
      </c>
      <c r="AJ687" s="17" t="s">
        <v>8503</v>
      </c>
      <c r="AK687" s="17" t="s">
        <v>95</v>
      </c>
      <c r="AL687" s="17" t="s">
        <v>8504</v>
      </c>
      <c r="AM687" s="17" t="s">
        <v>95</v>
      </c>
      <c r="AN687" s="17" t="s">
        <v>86</v>
      </c>
      <c r="AO687" s="17" t="s">
        <v>6386</v>
      </c>
      <c r="AP687" s="17" t="s">
        <v>6495</v>
      </c>
      <c r="AQ687" s="17" t="s">
        <v>425</v>
      </c>
      <c r="AR687" s="17" t="s">
        <v>8505</v>
      </c>
      <c r="AS687" s="17" t="s">
        <v>8506</v>
      </c>
      <c r="AT687" s="17">
        <v>258</v>
      </c>
      <c r="AU687" s="30" t="s">
        <v>8507</v>
      </c>
      <c r="AV687" s="14">
        <v>11980</v>
      </c>
      <c r="AW687" s="74"/>
      <c r="AX687" s="1"/>
      <c r="AY687" s="17" t="s">
        <v>101</v>
      </c>
    </row>
    <row r="688" spans="1:51" ht="15" customHeight="1" x14ac:dyDescent="0.25">
      <c r="A688" s="5">
        <v>661</v>
      </c>
      <c r="B688" s="9">
        <v>661</v>
      </c>
      <c r="C688" s="9" t="s">
        <v>8508</v>
      </c>
      <c r="D688" s="57" t="str">
        <f>HYPERLINK("http://prodenv.dep.state.fl.us/DepNexus/public/electronic-documents/OG_661/facility!search","OG_661_Docs")</f>
        <v>OG_661_Docs</v>
      </c>
      <c r="E688" s="57" t="str">
        <f>HYPERLINK("https://ca.dep.state.fl.us/mapdirect/?focus=oilandgas&amp;zoom=query&amp;querytype=oilandgas&amp;queryvalues=OG_661","OG_661_Map")</f>
        <v>OG_661_Map</v>
      </c>
      <c r="F688" s="1" t="s">
        <v>1797</v>
      </c>
      <c r="G688" s="1" t="s">
        <v>79</v>
      </c>
      <c r="H688" s="1" t="s">
        <v>8509</v>
      </c>
      <c r="I688" s="1" t="s">
        <v>8510</v>
      </c>
      <c r="J688" s="17" t="s">
        <v>82</v>
      </c>
      <c r="K688" s="17" t="s">
        <v>83</v>
      </c>
      <c r="L688" s="17"/>
      <c r="M688" s="17"/>
      <c r="N688" s="52" t="s">
        <v>7514</v>
      </c>
      <c r="O688" s="17" t="s">
        <v>86</v>
      </c>
      <c r="P688" s="17" t="s">
        <v>86</v>
      </c>
      <c r="Q688" s="81" t="s">
        <v>8511</v>
      </c>
      <c r="R688" s="11">
        <v>30.723338999999999</v>
      </c>
      <c r="S688" s="11">
        <v>-87.063630000000003</v>
      </c>
      <c r="T688" s="11" t="s">
        <v>8512</v>
      </c>
      <c r="U688" s="11" t="s">
        <v>8513</v>
      </c>
      <c r="V688" s="17" t="s">
        <v>8514</v>
      </c>
      <c r="W688" s="17" t="s">
        <v>8515</v>
      </c>
      <c r="X688" s="70">
        <v>124</v>
      </c>
      <c r="Y688" s="70">
        <v>100</v>
      </c>
      <c r="Z688" s="13">
        <v>26799</v>
      </c>
      <c r="AA688" s="13">
        <v>26813</v>
      </c>
      <c r="AB688" s="13"/>
      <c r="AC688" s="13">
        <v>26871</v>
      </c>
      <c r="AD688" s="86">
        <v>16894</v>
      </c>
      <c r="AE688" s="86">
        <v>16894</v>
      </c>
      <c r="AF688" s="70" t="s">
        <v>8516</v>
      </c>
      <c r="AG688" s="17" t="s">
        <v>8517</v>
      </c>
      <c r="AH688" s="17" t="s">
        <v>94</v>
      </c>
      <c r="AI688" s="70" t="s">
        <v>94</v>
      </c>
      <c r="AJ688" s="17" t="s">
        <v>94</v>
      </c>
      <c r="AK688" s="17" t="s">
        <v>95</v>
      </c>
      <c r="AL688" s="17" t="s">
        <v>8518</v>
      </c>
      <c r="AM688" s="17" t="s">
        <v>94</v>
      </c>
      <c r="AN688" s="17" t="s">
        <v>94</v>
      </c>
      <c r="AO688" s="17" t="s">
        <v>98</v>
      </c>
      <c r="AP688" s="17" t="s">
        <v>98</v>
      </c>
      <c r="AQ688" s="17" t="s">
        <v>98</v>
      </c>
      <c r="AR688" s="17" t="s">
        <v>94</v>
      </c>
      <c r="AS688" s="17" t="s">
        <v>8519</v>
      </c>
      <c r="AT688" s="17"/>
      <c r="AU688" s="30" t="s">
        <v>8520</v>
      </c>
      <c r="AV688" s="14">
        <v>11896</v>
      </c>
      <c r="AW688" s="74"/>
      <c r="AX688" s="1"/>
      <c r="AY688" s="17" t="s">
        <v>101</v>
      </c>
    </row>
    <row r="689" spans="1:51" ht="15" customHeight="1" x14ac:dyDescent="0.25">
      <c r="A689" s="5">
        <v>662</v>
      </c>
      <c r="B689" s="9">
        <v>662</v>
      </c>
      <c r="C689" s="9" t="s">
        <v>8521</v>
      </c>
      <c r="D689" s="57" t="str">
        <f>HYPERLINK("http://prodenv.dep.state.fl.us/DepNexus/public/electronic-documents/OG_662/facility!search","OG_662_Docs")</f>
        <v>OG_662_Docs</v>
      </c>
      <c r="E689" s="57" t="str">
        <f>HYPERLINK("https://ca.dep.state.fl.us/mapdirect/?focus=oilandgas&amp;zoom=query&amp;querytype=oilandgas&amp;queryvalues=OG_662","OG_662_Map")</f>
        <v>OG_662_Map</v>
      </c>
      <c r="F689" s="1" t="s">
        <v>1752</v>
      </c>
      <c r="G689" s="1" t="s">
        <v>8522</v>
      </c>
      <c r="H689" s="1" t="s">
        <v>8523</v>
      </c>
      <c r="I689" s="1" t="s">
        <v>8524</v>
      </c>
      <c r="J689" s="17" t="s">
        <v>268</v>
      </c>
      <c r="K689" s="17" t="s">
        <v>412</v>
      </c>
      <c r="L689" s="17"/>
      <c r="M689" s="17" t="s">
        <v>101</v>
      </c>
      <c r="N689" s="52" t="s">
        <v>3956</v>
      </c>
      <c r="O689" s="17" t="s">
        <v>270</v>
      </c>
      <c r="P689" s="17" t="s">
        <v>86</v>
      </c>
      <c r="Q689" s="81" t="s">
        <v>8525</v>
      </c>
      <c r="R689" s="11">
        <v>26.317028000000001</v>
      </c>
      <c r="S689" s="11">
        <v>-81.078400000000002</v>
      </c>
      <c r="T689" s="11" t="s">
        <v>8526</v>
      </c>
      <c r="U689" s="11" t="s">
        <v>8527</v>
      </c>
      <c r="V689" s="17" t="s">
        <v>8528</v>
      </c>
      <c r="W689" s="17" t="s">
        <v>110</v>
      </c>
      <c r="X689" s="70">
        <v>35.200000000000003</v>
      </c>
      <c r="Y689" s="70">
        <v>19.399999999999999</v>
      </c>
      <c r="Z689" s="13">
        <v>26820</v>
      </c>
      <c r="AA689" s="13">
        <v>26883</v>
      </c>
      <c r="AB689" s="13"/>
      <c r="AC689" s="13">
        <v>26982</v>
      </c>
      <c r="AD689" s="86">
        <v>12651</v>
      </c>
      <c r="AE689" s="86">
        <v>12651</v>
      </c>
      <c r="AF689" s="70" t="s">
        <v>8529</v>
      </c>
      <c r="AG689" s="17" t="s">
        <v>8530</v>
      </c>
      <c r="AH689" s="23" t="s">
        <v>8531</v>
      </c>
      <c r="AI689" s="70" t="s">
        <v>8532</v>
      </c>
      <c r="AJ689" s="17" t="s">
        <v>94</v>
      </c>
      <c r="AK689" s="17" t="s">
        <v>94</v>
      </c>
      <c r="AL689" s="17" t="s">
        <v>94</v>
      </c>
      <c r="AM689" s="17" t="s">
        <v>94</v>
      </c>
      <c r="AN689" s="17" t="s">
        <v>8533</v>
      </c>
      <c r="AO689" s="17" t="s">
        <v>8534</v>
      </c>
      <c r="AP689" s="17" t="s">
        <v>6135</v>
      </c>
      <c r="AQ689" s="17" t="s">
        <v>3512</v>
      </c>
      <c r="AR689" s="17" t="s">
        <v>8535</v>
      </c>
      <c r="AS689" s="17" t="s">
        <v>8536</v>
      </c>
      <c r="AT689" s="17">
        <v>192</v>
      </c>
      <c r="AU689" s="30" t="s">
        <v>8537</v>
      </c>
      <c r="AV689" s="14" t="s">
        <v>94</v>
      </c>
      <c r="AW689" s="74"/>
      <c r="AX689" s="39" t="s">
        <v>8538</v>
      </c>
      <c r="AY689" s="17" t="s">
        <v>101</v>
      </c>
    </row>
    <row r="690" spans="1:51" ht="12.75" customHeight="1" x14ac:dyDescent="0.25">
      <c r="A690" s="5">
        <v>663</v>
      </c>
      <c r="B690" s="9">
        <v>663</v>
      </c>
      <c r="C690" s="9" t="s">
        <v>8539</v>
      </c>
      <c r="D690" s="57" t="str">
        <f>HYPERLINK("http://prodenv.dep.state.fl.us/DepNexus/public/electronic-documents/OG_663/facility!search","OG_663_Docs")</f>
        <v>OG_663_Docs</v>
      </c>
      <c r="E690" s="57" t="str">
        <f>HYPERLINK("https://ca.dep.state.fl.us/mapdirect/?focus=oilandgas&amp;zoom=query&amp;querytype=oilandgas&amp;queryvalues=OG_663","OG_663_Map")</f>
        <v>OG_663_Map</v>
      </c>
      <c r="F690" s="1" t="s">
        <v>265</v>
      </c>
      <c r="G690" s="1" t="s">
        <v>79</v>
      </c>
      <c r="H690" s="1" t="s">
        <v>8523</v>
      </c>
      <c r="I690" s="1" t="s">
        <v>8540</v>
      </c>
      <c r="J690" s="17" t="s">
        <v>82</v>
      </c>
      <c r="K690" s="17" t="s">
        <v>83</v>
      </c>
      <c r="L690" s="17"/>
      <c r="M690" s="17" t="s">
        <v>101</v>
      </c>
      <c r="N690" s="52" t="s">
        <v>3956</v>
      </c>
      <c r="O690" s="17" t="s">
        <v>270</v>
      </c>
      <c r="P690" s="17" t="s">
        <v>86</v>
      </c>
      <c r="Q690" s="81" t="s">
        <v>8541</v>
      </c>
      <c r="R690" s="11">
        <v>26.017061999999999</v>
      </c>
      <c r="S690" s="11">
        <v>-81.657866999999996</v>
      </c>
      <c r="T690" s="11" t="s">
        <v>8542</v>
      </c>
      <c r="U690" s="11" t="s">
        <v>8543</v>
      </c>
      <c r="V690" s="17" t="s">
        <v>8544</v>
      </c>
      <c r="W690" s="17" t="s">
        <v>110</v>
      </c>
      <c r="X690" s="70">
        <v>20.6</v>
      </c>
      <c r="Y690" s="70">
        <v>3</v>
      </c>
      <c r="Z690" s="13">
        <v>26820</v>
      </c>
      <c r="AA690" s="13">
        <v>26835</v>
      </c>
      <c r="AB690" s="13"/>
      <c r="AC690" s="13">
        <v>26876</v>
      </c>
      <c r="AD690" s="86">
        <v>13803</v>
      </c>
      <c r="AE690" s="86">
        <v>13803</v>
      </c>
      <c r="AF690" s="70" t="s">
        <v>8545</v>
      </c>
      <c r="AG690" s="17" t="s">
        <v>8546</v>
      </c>
      <c r="AH690" s="23" t="s">
        <v>8547</v>
      </c>
      <c r="AI690" s="70" t="s">
        <v>94</v>
      </c>
      <c r="AJ690" s="17" t="s">
        <v>94</v>
      </c>
      <c r="AK690" s="17" t="s">
        <v>95</v>
      </c>
      <c r="AL690" s="17" t="s">
        <v>94</v>
      </c>
      <c r="AM690" s="17" t="s">
        <v>94</v>
      </c>
      <c r="AN690" s="17" t="s">
        <v>94</v>
      </c>
      <c r="AO690" s="17" t="s">
        <v>98</v>
      </c>
      <c r="AP690" s="17" t="s">
        <v>98</v>
      </c>
      <c r="AQ690" s="17" t="s">
        <v>98</v>
      </c>
      <c r="AR690" s="17" t="s">
        <v>94</v>
      </c>
      <c r="AS690" s="17" t="s">
        <v>8548</v>
      </c>
      <c r="AT690" s="17"/>
      <c r="AU690" s="30" t="s">
        <v>8549</v>
      </c>
      <c r="AV690" s="14">
        <v>12046</v>
      </c>
      <c r="AW690" s="74"/>
      <c r="AX690" s="1"/>
      <c r="AY690" s="17" t="s">
        <v>101</v>
      </c>
    </row>
    <row r="691" spans="1:51" ht="15" customHeight="1" x14ac:dyDescent="0.25">
      <c r="A691" s="5">
        <v>664</v>
      </c>
      <c r="B691" s="9">
        <v>664</v>
      </c>
      <c r="C691" s="9" t="s">
        <v>8550</v>
      </c>
      <c r="D691" s="57" t="str">
        <f>HYPERLINK("http://prodenv.dep.state.fl.us/DepNexus/public/electronic-documents/OG_664/facility!search","OG_664_Docs")</f>
        <v>OG_664_Docs</v>
      </c>
      <c r="E691" s="57" t="str">
        <f>HYPERLINK("https://ca.dep.state.fl.us/mapdirect/?focus=oilandgas&amp;zoom=query&amp;querytype=oilandgas&amp;queryvalues=OG_664","OG_664_Map")</f>
        <v>OG_664_Map</v>
      </c>
      <c r="F691" s="1" t="s">
        <v>265</v>
      </c>
      <c r="G691" s="1" t="s">
        <v>79</v>
      </c>
      <c r="H691" s="1" t="s">
        <v>7255</v>
      </c>
      <c r="I691" s="1" t="s">
        <v>8551</v>
      </c>
      <c r="J691" s="17" t="s">
        <v>82</v>
      </c>
      <c r="K691" s="17" t="s">
        <v>83</v>
      </c>
      <c r="L691" s="17"/>
      <c r="M691" s="17"/>
      <c r="N691" s="52" t="s">
        <v>86</v>
      </c>
      <c r="O691" s="17" t="s">
        <v>270</v>
      </c>
      <c r="P691" s="17" t="s">
        <v>3395</v>
      </c>
      <c r="Q691" s="81" t="s">
        <v>8552</v>
      </c>
      <c r="R691" s="11">
        <v>26.176850000000002</v>
      </c>
      <c r="S691" s="11">
        <v>-81.233025999999995</v>
      </c>
      <c r="T691" s="11" t="s">
        <v>8553</v>
      </c>
      <c r="U691" s="11" t="s">
        <v>8554</v>
      </c>
      <c r="V691" s="17" t="s">
        <v>8555</v>
      </c>
      <c r="W691" s="17" t="s">
        <v>110</v>
      </c>
      <c r="X691" s="70">
        <v>32.47</v>
      </c>
      <c r="Y691" s="70">
        <v>16.2</v>
      </c>
      <c r="Z691" s="13">
        <v>26820</v>
      </c>
      <c r="AA691" s="13">
        <v>26889</v>
      </c>
      <c r="AB691" s="13"/>
      <c r="AC691" s="13">
        <v>26941</v>
      </c>
      <c r="AD691" s="86">
        <v>11830</v>
      </c>
      <c r="AE691" s="86">
        <v>11830</v>
      </c>
      <c r="AF691" s="70" t="s">
        <v>8347</v>
      </c>
      <c r="AG691" s="17" t="s">
        <v>8556</v>
      </c>
      <c r="AH691" s="23" t="s">
        <v>4600</v>
      </c>
      <c r="AI691" s="70" t="s">
        <v>94</v>
      </c>
      <c r="AJ691" s="17" t="s">
        <v>94</v>
      </c>
      <c r="AK691" s="17" t="s">
        <v>95</v>
      </c>
      <c r="AL691" s="17" t="s">
        <v>94</v>
      </c>
      <c r="AM691" s="17" t="s">
        <v>95</v>
      </c>
      <c r="AN691" s="17" t="s">
        <v>8557</v>
      </c>
      <c r="AO691" s="17" t="s">
        <v>8558</v>
      </c>
      <c r="AP691" s="17" t="s">
        <v>8558</v>
      </c>
      <c r="AQ691" s="17" t="s">
        <v>8558</v>
      </c>
      <c r="AR691" s="17" t="s">
        <v>94</v>
      </c>
      <c r="AS691" s="17" t="s">
        <v>8559</v>
      </c>
      <c r="AT691" s="17">
        <v>192</v>
      </c>
      <c r="AU691" s="30" t="s">
        <v>8560</v>
      </c>
      <c r="AV691" s="14">
        <v>12045</v>
      </c>
      <c r="AW691" s="74"/>
      <c r="AX691" s="1"/>
      <c r="AY691" s="17" t="s">
        <v>101</v>
      </c>
    </row>
    <row r="692" spans="1:51" ht="12.75" customHeight="1" x14ac:dyDescent="0.25">
      <c r="A692" s="5">
        <v>665</v>
      </c>
      <c r="B692" s="9">
        <v>665</v>
      </c>
      <c r="C692" s="9" t="s">
        <v>8561</v>
      </c>
      <c r="D692" s="57" t="str">
        <f>HYPERLINK("http://prodenv.dep.state.fl.us/DepNexus/public/electronic-documents/OG_665/facility!search","OG_665_Docs")</f>
        <v>OG_665_Docs</v>
      </c>
      <c r="E692" s="57" t="str">
        <f>HYPERLINK("https://ca.dep.state.fl.us/mapdirect/?focus=oilandgas&amp;zoom=query&amp;querytype=oilandgas&amp;queryvalues=OG_665","OG_665_Map")</f>
        <v>OG_665_Map</v>
      </c>
      <c r="F692" s="1" t="s">
        <v>290</v>
      </c>
      <c r="G692" s="1" t="s">
        <v>79</v>
      </c>
      <c r="H692" s="1" t="s">
        <v>7255</v>
      </c>
      <c r="I692" s="1" t="s">
        <v>8562</v>
      </c>
      <c r="J692" s="17" t="s">
        <v>207</v>
      </c>
      <c r="K692" s="17" t="s">
        <v>208</v>
      </c>
      <c r="L692" s="17"/>
      <c r="M692" s="17" t="s">
        <v>207</v>
      </c>
      <c r="N692" s="52" t="s">
        <v>86</v>
      </c>
      <c r="O692" s="17" t="s">
        <v>270</v>
      </c>
      <c r="P692" s="17" t="s">
        <v>3395</v>
      </c>
      <c r="Q692" s="81" t="s">
        <v>8563</v>
      </c>
      <c r="R692" s="11">
        <v>25.790683000000001</v>
      </c>
      <c r="S692" s="11">
        <v>-80.889134999999996</v>
      </c>
      <c r="T692" s="11" t="s">
        <v>8564</v>
      </c>
      <c r="U692" s="11" t="s">
        <v>8565</v>
      </c>
      <c r="V692" s="17" t="s">
        <v>8566</v>
      </c>
      <c r="W692" s="17" t="s">
        <v>110</v>
      </c>
      <c r="X692" s="70"/>
      <c r="Y692" s="70"/>
      <c r="Z692" s="13">
        <v>26820</v>
      </c>
      <c r="AA692" s="13"/>
      <c r="AB692" s="13"/>
      <c r="AC692" s="13"/>
      <c r="AD692" s="86"/>
      <c r="AE692" s="70"/>
      <c r="AF692" s="70" t="s">
        <v>207</v>
      </c>
      <c r="AG692" s="14" t="s">
        <v>207</v>
      </c>
      <c r="AH692" s="14" t="s">
        <v>207</v>
      </c>
      <c r="AI692" s="70" t="s">
        <v>207</v>
      </c>
      <c r="AJ692" s="14" t="s">
        <v>207</v>
      </c>
      <c r="AK692" s="14" t="s">
        <v>207</v>
      </c>
      <c r="AL692" s="14" t="s">
        <v>207</v>
      </c>
      <c r="AM692" s="14" t="s">
        <v>207</v>
      </c>
      <c r="AN692" s="14" t="s">
        <v>207</v>
      </c>
      <c r="AO692" s="14" t="s">
        <v>207</v>
      </c>
      <c r="AP692" s="14" t="s">
        <v>207</v>
      </c>
      <c r="AQ692" s="14" t="s">
        <v>207</v>
      </c>
      <c r="AR692" s="14" t="s">
        <v>207</v>
      </c>
      <c r="AS692" s="14" t="s">
        <v>207</v>
      </c>
      <c r="AT692" s="14" t="s">
        <v>207</v>
      </c>
      <c r="AU692" s="30" t="s">
        <v>8567</v>
      </c>
      <c r="AV692" s="14" t="s">
        <v>207</v>
      </c>
      <c r="AW692" s="74"/>
      <c r="AX692" s="1"/>
      <c r="AY692" s="17" t="s">
        <v>101</v>
      </c>
    </row>
    <row r="693" spans="1:51" ht="12.75" customHeight="1" x14ac:dyDescent="0.25">
      <c r="A693" s="5">
        <v>666</v>
      </c>
      <c r="B693" s="9">
        <v>666</v>
      </c>
      <c r="C693" s="9" t="s">
        <v>8568</v>
      </c>
      <c r="D693" s="57" t="str">
        <f>HYPERLINK("http://prodenv.dep.state.fl.us/DepNexus/public/electronic-documents/OG_666/facility!search","OG_666_Docs")</f>
        <v>OG_666_Docs</v>
      </c>
      <c r="E693" s="57" t="str">
        <f>HYPERLINK("https://ca.dep.state.fl.us/mapdirect/?focus=oilandgas&amp;zoom=query&amp;querytype=oilandgas&amp;queryvalues=OG_666","OG_666_Map")</f>
        <v>OG_666_Map</v>
      </c>
      <c r="F693" s="1" t="s">
        <v>1041</v>
      </c>
      <c r="G693" s="1" t="s">
        <v>79</v>
      </c>
      <c r="H693" s="1" t="s">
        <v>8378</v>
      </c>
      <c r="I693" s="1" t="s">
        <v>8569</v>
      </c>
      <c r="J693" s="17" t="s">
        <v>82</v>
      </c>
      <c r="K693" s="17" t="s">
        <v>83</v>
      </c>
      <c r="L693" s="17"/>
      <c r="M693" s="17"/>
      <c r="N693" s="52" t="s">
        <v>8570</v>
      </c>
      <c r="O693" s="17" t="s">
        <v>86</v>
      </c>
      <c r="P693" s="17" t="s">
        <v>86</v>
      </c>
      <c r="Q693" s="81" t="s">
        <v>8571</v>
      </c>
      <c r="R693" s="11">
        <v>30.267804999999999</v>
      </c>
      <c r="S693" s="11">
        <v>-82.611624000000006</v>
      </c>
      <c r="T693" s="11" t="s">
        <v>8572</v>
      </c>
      <c r="U693" s="11" t="s">
        <v>8573</v>
      </c>
      <c r="V693" s="17" t="s">
        <v>8574</v>
      </c>
      <c r="W693" s="17" t="s">
        <v>110</v>
      </c>
      <c r="X693" s="70">
        <v>157</v>
      </c>
      <c r="Y693" s="70">
        <v>144</v>
      </c>
      <c r="Z693" s="13">
        <v>26820</v>
      </c>
      <c r="AA693" s="13">
        <v>26845</v>
      </c>
      <c r="AB693" s="13">
        <v>26858</v>
      </c>
      <c r="AC693" s="13">
        <v>26858</v>
      </c>
      <c r="AD693" s="86">
        <v>3196</v>
      </c>
      <c r="AE693" s="86">
        <v>3196</v>
      </c>
      <c r="AF693" s="70" t="s">
        <v>694</v>
      </c>
      <c r="AG693" s="17" t="s">
        <v>8575</v>
      </c>
      <c r="AH693" s="17" t="s">
        <v>94</v>
      </c>
      <c r="AI693" s="70" t="s">
        <v>94</v>
      </c>
      <c r="AJ693" s="17" t="s">
        <v>94</v>
      </c>
      <c r="AK693" s="17" t="s">
        <v>95</v>
      </c>
      <c r="AL693" s="17" t="s">
        <v>94</v>
      </c>
      <c r="AM693" s="17" t="s">
        <v>94</v>
      </c>
      <c r="AN693" s="17" t="s">
        <v>94</v>
      </c>
      <c r="AO693" s="17" t="s">
        <v>98</v>
      </c>
      <c r="AP693" s="17" t="s">
        <v>98</v>
      </c>
      <c r="AQ693" s="17" t="s">
        <v>98</v>
      </c>
      <c r="AR693" s="17" t="s">
        <v>94</v>
      </c>
      <c r="AS693" s="17" t="s">
        <v>8576</v>
      </c>
      <c r="AT693" s="17">
        <v>103</v>
      </c>
      <c r="AU693" s="30" t="s">
        <v>8577</v>
      </c>
      <c r="AV693" s="14">
        <v>11910</v>
      </c>
      <c r="AW693" s="74"/>
      <c r="AX693" s="1"/>
      <c r="AY693" s="17" t="s">
        <v>101</v>
      </c>
    </row>
    <row r="694" spans="1:51" ht="12.75" customHeight="1" x14ac:dyDescent="0.25">
      <c r="A694" s="5">
        <v>667</v>
      </c>
      <c r="B694" s="9">
        <v>667</v>
      </c>
      <c r="C694" s="9" t="s">
        <v>8578</v>
      </c>
      <c r="D694" s="57" t="str">
        <f>HYPERLINK("http://prodenv.dep.state.fl.us/DepNexus/public/electronic-documents/OG_667/facility!search","OG_667_Docs")</f>
        <v>OG_667_Docs</v>
      </c>
      <c r="E694" s="57" t="str">
        <f>HYPERLINK("https://ca.dep.state.fl.us/mapdirect/?focus=oilandgas&amp;zoom=query&amp;querytype=oilandgas&amp;queryvalues=OG_667","OG_667_Map")</f>
        <v>OG_667_Map</v>
      </c>
      <c r="F694" s="1" t="s">
        <v>1041</v>
      </c>
      <c r="G694" s="1" t="s">
        <v>79</v>
      </c>
      <c r="H694" s="1" t="s">
        <v>8378</v>
      </c>
      <c r="I694" s="1" t="s">
        <v>8579</v>
      </c>
      <c r="J694" s="17" t="s">
        <v>207</v>
      </c>
      <c r="K694" s="17" t="s">
        <v>208</v>
      </c>
      <c r="L694" s="17"/>
      <c r="M694" s="17" t="s">
        <v>207</v>
      </c>
      <c r="N694" s="52" t="s">
        <v>86</v>
      </c>
      <c r="O694" s="17" t="s">
        <v>86</v>
      </c>
      <c r="P694" s="17" t="s">
        <v>86</v>
      </c>
      <c r="Q694" s="81" t="s">
        <v>8580</v>
      </c>
      <c r="R694" s="11">
        <v>30.263947000000002</v>
      </c>
      <c r="S694" s="11">
        <v>-82.611645999999993</v>
      </c>
      <c r="T694" s="11" t="s">
        <v>8581</v>
      </c>
      <c r="U694" s="11" t="s">
        <v>8582</v>
      </c>
      <c r="V694" s="17" t="s">
        <v>8583</v>
      </c>
      <c r="W694" s="23" t="s">
        <v>110</v>
      </c>
      <c r="X694" s="70"/>
      <c r="Y694" s="70"/>
      <c r="Z694" s="13">
        <v>26820</v>
      </c>
      <c r="AA694" s="13"/>
      <c r="AB694" s="13"/>
      <c r="AC694" s="13"/>
      <c r="AD694" s="86"/>
      <c r="AE694" s="70"/>
      <c r="AF694" s="70" t="s">
        <v>207</v>
      </c>
      <c r="AG694" s="17" t="s">
        <v>207</v>
      </c>
      <c r="AH694" s="17" t="s">
        <v>207</v>
      </c>
      <c r="AI694" s="70" t="s">
        <v>207</v>
      </c>
      <c r="AJ694" s="17" t="s">
        <v>207</v>
      </c>
      <c r="AK694" s="17" t="s">
        <v>207</v>
      </c>
      <c r="AL694" s="17" t="s">
        <v>207</v>
      </c>
      <c r="AM694" s="17" t="s">
        <v>207</v>
      </c>
      <c r="AN694" s="17" t="s">
        <v>207</v>
      </c>
      <c r="AO694" s="17" t="s">
        <v>207</v>
      </c>
      <c r="AP694" s="17" t="s">
        <v>207</v>
      </c>
      <c r="AQ694" s="17" t="s">
        <v>207</v>
      </c>
      <c r="AR694" s="17" t="s">
        <v>207</v>
      </c>
      <c r="AS694" s="17" t="s">
        <v>207</v>
      </c>
      <c r="AT694" s="17" t="s">
        <v>207</v>
      </c>
      <c r="AU694" s="30" t="s">
        <v>8584</v>
      </c>
      <c r="AV694" s="14" t="s">
        <v>207</v>
      </c>
      <c r="AW694" s="74"/>
      <c r="AX694" s="1"/>
      <c r="AY694" s="17" t="s">
        <v>101</v>
      </c>
    </row>
    <row r="695" spans="1:51" ht="12.75" customHeight="1" x14ac:dyDescent="0.25">
      <c r="A695" s="5">
        <v>668</v>
      </c>
      <c r="B695" s="9">
        <v>668</v>
      </c>
      <c r="C695" s="9" t="s">
        <v>8585</v>
      </c>
      <c r="D695" s="57" t="str">
        <f>HYPERLINK("http://prodenv.dep.state.fl.us/DepNexus/public/electronic-documents/OG_668/facility!search","OG_668_Docs")</f>
        <v>OG_668_Docs</v>
      </c>
      <c r="E695" s="57" t="str">
        <f>HYPERLINK("https://ca.dep.state.fl.us/mapdirect/?focus=oilandgas&amp;zoom=query&amp;querytype=oilandgas&amp;queryvalues=OG_668","OG_668_Map")</f>
        <v>OG_668_Map</v>
      </c>
      <c r="F695" s="1" t="s">
        <v>1041</v>
      </c>
      <c r="G695" s="1" t="s">
        <v>79</v>
      </c>
      <c r="H695" s="1" t="s">
        <v>8378</v>
      </c>
      <c r="I695" s="1" t="s">
        <v>8586</v>
      </c>
      <c r="J695" s="17" t="s">
        <v>207</v>
      </c>
      <c r="K695" s="17" t="s">
        <v>208</v>
      </c>
      <c r="L695" s="17"/>
      <c r="M695" s="17" t="s">
        <v>207</v>
      </c>
      <c r="N695" s="52" t="s">
        <v>86</v>
      </c>
      <c r="O695" s="17" t="s">
        <v>86</v>
      </c>
      <c r="P695" s="17" t="s">
        <v>86</v>
      </c>
      <c r="Q695" s="81" t="s">
        <v>8587</v>
      </c>
      <c r="R695" s="11">
        <v>30.234807</v>
      </c>
      <c r="S695" s="11">
        <v>-82.623766000000003</v>
      </c>
      <c r="T695" s="11" t="s">
        <v>8588</v>
      </c>
      <c r="U695" s="11" t="s">
        <v>8589</v>
      </c>
      <c r="V695" s="17" t="s">
        <v>8590</v>
      </c>
      <c r="W695" s="23" t="s">
        <v>110</v>
      </c>
      <c r="X695" s="70"/>
      <c r="Y695" s="70"/>
      <c r="Z695" s="13">
        <v>26820</v>
      </c>
      <c r="AA695" s="13"/>
      <c r="AB695" s="13"/>
      <c r="AC695" s="13"/>
      <c r="AD695" s="86"/>
      <c r="AE695" s="70"/>
      <c r="AF695" s="70" t="s">
        <v>207</v>
      </c>
      <c r="AG695" s="17" t="s">
        <v>207</v>
      </c>
      <c r="AH695" s="17" t="s">
        <v>207</v>
      </c>
      <c r="AI695" s="70" t="s">
        <v>207</v>
      </c>
      <c r="AJ695" s="17" t="s">
        <v>207</v>
      </c>
      <c r="AK695" s="17" t="s">
        <v>207</v>
      </c>
      <c r="AL695" s="17" t="s">
        <v>207</v>
      </c>
      <c r="AM695" s="17" t="s">
        <v>207</v>
      </c>
      <c r="AN695" s="17" t="s">
        <v>207</v>
      </c>
      <c r="AO695" s="17" t="s">
        <v>207</v>
      </c>
      <c r="AP695" s="17" t="s">
        <v>207</v>
      </c>
      <c r="AQ695" s="17" t="s">
        <v>207</v>
      </c>
      <c r="AR695" s="17" t="s">
        <v>207</v>
      </c>
      <c r="AS695" s="17" t="s">
        <v>207</v>
      </c>
      <c r="AT695" s="17" t="s">
        <v>207</v>
      </c>
      <c r="AU695" s="30" t="s">
        <v>8591</v>
      </c>
      <c r="AV695" s="14" t="s">
        <v>207</v>
      </c>
      <c r="AW695" s="74"/>
      <c r="AX695" s="1"/>
      <c r="AY695" s="17" t="s">
        <v>101</v>
      </c>
    </row>
    <row r="696" spans="1:51" ht="12.75" customHeight="1" x14ac:dyDescent="0.25">
      <c r="A696" s="5">
        <v>669</v>
      </c>
      <c r="B696" s="9">
        <v>669</v>
      </c>
      <c r="C696" s="9" t="s">
        <v>8592</v>
      </c>
      <c r="D696" s="57" t="str">
        <f>HYPERLINK("http://prodenv.dep.state.fl.us/DepNexus/public/electronic-documents/OG_669/facility!search","OG_669_Docs")</f>
        <v>OG_669_Docs</v>
      </c>
      <c r="E696" s="57" t="str">
        <f>HYPERLINK("https://ca.dep.state.fl.us/mapdirect/?focus=oilandgas&amp;zoom=query&amp;querytype=oilandgas&amp;queryvalues=OG_669","OG_669_Map")</f>
        <v>OG_669_Map</v>
      </c>
      <c r="F696" s="1" t="s">
        <v>1041</v>
      </c>
      <c r="G696" s="1" t="s">
        <v>79</v>
      </c>
      <c r="H696" s="1" t="s">
        <v>8378</v>
      </c>
      <c r="I696" s="1" t="s">
        <v>8593</v>
      </c>
      <c r="J696" s="17" t="s">
        <v>207</v>
      </c>
      <c r="K696" s="17" t="s">
        <v>208</v>
      </c>
      <c r="L696" s="17"/>
      <c r="M696" s="17" t="s">
        <v>207</v>
      </c>
      <c r="N696" s="52" t="s">
        <v>86</v>
      </c>
      <c r="O696" s="17" t="s">
        <v>86</v>
      </c>
      <c r="P696" s="17" t="s">
        <v>86</v>
      </c>
      <c r="Q696" s="81" t="s">
        <v>8594</v>
      </c>
      <c r="R696" s="11">
        <v>30.299295999999998</v>
      </c>
      <c r="S696" s="11">
        <v>-82.624317000000005</v>
      </c>
      <c r="T696" s="11" t="s">
        <v>8595</v>
      </c>
      <c r="U696" s="11" t="s">
        <v>8596</v>
      </c>
      <c r="V696" s="17" t="s">
        <v>8597</v>
      </c>
      <c r="W696" s="23" t="s">
        <v>110</v>
      </c>
      <c r="X696" s="70"/>
      <c r="Y696" s="70"/>
      <c r="Z696" s="13">
        <v>26820</v>
      </c>
      <c r="AA696" s="13"/>
      <c r="AB696" s="13"/>
      <c r="AC696" s="13"/>
      <c r="AD696" s="86"/>
      <c r="AE696" s="70"/>
      <c r="AF696" s="70" t="s">
        <v>207</v>
      </c>
      <c r="AG696" s="17" t="s">
        <v>207</v>
      </c>
      <c r="AH696" s="17" t="s">
        <v>207</v>
      </c>
      <c r="AI696" s="70" t="s">
        <v>207</v>
      </c>
      <c r="AJ696" s="17" t="s">
        <v>207</v>
      </c>
      <c r="AK696" s="17" t="s">
        <v>207</v>
      </c>
      <c r="AL696" s="17" t="s">
        <v>207</v>
      </c>
      <c r="AM696" s="17" t="s">
        <v>207</v>
      </c>
      <c r="AN696" s="17" t="s">
        <v>207</v>
      </c>
      <c r="AO696" s="17" t="s">
        <v>207</v>
      </c>
      <c r="AP696" s="17" t="s">
        <v>207</v>
      </c>
      <c r="AQ696" s="17" t="s">
        <v>207</v>
      </c>
      <c r="AR696" s="17" t="s">
        <v>207</v>
      </c>
      <c r="AS696" s="17" t="s">
        <v>207</v>
      </c>
      <c r="AT696" s="17" t="s">
        <v>207</v>
      </c>
      <c r="AU696" s="30" t="s">
        <v>8598</v>
      </c>
      <c r="AV696" s="14" t="s">
        <v>207</v>
      </c>
      <c r="AW696" s="74"/>
      <c r="AX696" s="1"/>
      <c r="AY696" s="17" t="s">
        <v>101</v>
      </c>
    </row>
    <row r="697" spans="1:51" ht="12.75" customHeight="1" x14ac:dyDescent="0.25">
      <c r="A697" s="5">
        <v>670</v>
      </c>
      <c r="B697" s="9">
        <v>670</v>
      </c>
      <c r="C697" s="9" t="s">
        <v>8599</v>
      </c>
      <c r="D697" s="57" t="str">
        <f>HYPERLINK("http://prodenv.dep.state.fl.us/DepNexus/public/electronic-documents/OG_670/facility!search","OG_670_Docs")</f>
        <v>OG_670_Docs</v>
      </c>
      <c r="E697" s="57" t="str">
        <f>HYPERLINK("https://ca.dep.state.fl.us/mapdirect/?focus=oilandgas&amp;zoom=query&amp;querytype=oilandgas&amp;queryvalues=OG_670","OG_670_Map")</f>
        <v>OG_670_Map</v>
      </c>
      <c r="F697" s="1" t="s">
        <v>539</v>
      </c>
      <c r="G697" s="1" t="s">
        <v>79</v>
      </c>
      <c r="H697" s="1" t="s">
        <v>8600</v>
      </c>
      <c r="I697" s="1" t="s">
        <v>1191</v>
      </c>
      <c r="J697" s="17" t="s">
        <v>82</v>
      </c>
      <c r="K697" s="17" t="s">
        <v>83</v>
      </c>
      <c r="L697" s="17"/>
      <c r="M697" s="17" t="s">
        <v>101</v>
      </c>
      <c r="N697" s="52" t="s">
        <v>6945</v>
      </c>
      <c r="O697" s="17" t="s">
        <v>86</v>
      </c>
      <c r="P697" s="17" t="s">
        <v>86</v>
      </c>
      <c r="Q697" s="81" t="s">
        <v>8601</v>
      </c>
      <c r="R697" s="11">
        <v>29.751729999999998</v>
      </c>
      <c r="S697" s="11">
        <v>-85.209137999999996</v>
      </c>
      <c r="T697" s="11" t="s">
        <v>8602</v>
      </c>
      <c r="U697" s="11" t="s">
        <v>8603</v>
      </c>
      <c r="V697" s="17" t="s">
        <v>8604</v>
      </c>
      <c r="W697" s="23" t="s">
        <v>110</v>
      </c>
      <c r="X697" s="70">
        <v>33.5</v>
      </c>
      <c r="Y697" s="70">
        <v>8.5</v>
      </c>
      <c r="Z697" s="13">
        <v>26820</v>
      </c>
      <c r="AA697" s="13">
        <v>26843</v>
      </c>
      <c r="AB697" s="13"/>
      <c r="AC697" s="13">
        <v>26902</v>
      </c>
      <c r="AD697" s="86">
        <v>14297</v>
      </c>
      <c r="AE697" s="86">
        <v>14297</v>
      </c>
      <c r="AF697" s="70" t="s">
        <v>2260</v>
      </c>
      <c r="AG697" s="23" t="s">
        <v>8605</v>
      </c>
      <c r="AH697" s="17" t="s">
        <v>94</v>
      </c>
      <c r="AI697" s="70" t="s">
        <v>94</v>
      </c>
      <c r="AJ697" s="17" t="s">
        <v>94</v>
      </c>
      <c r="AK697" s="17" t="s">
        <v>95</v>
      </c>
      <c r="AL697" s="17" t="s">
        <v>94</v>
      </c>
      <c r="AM697" s="17" t="s">
        <v>94</v>
      </c>
      <c r="AN697" s="17" t="s">
        <v>94</v>
      </c>
      <c r="AO697" s="17" t="s">
        <v>98</v>
      </c>
      <c r="AP697" s="17" t="s">
        <v>98</v>
      </c>
      <c r="AQ697" s="17" t="s">
        <v>98</v>
      </c>
      <c r="AR697" s="17" t="s">
        <v>94</v>
      </c>
      <c r="AS697" s="17" t="s">
        <v>8606</v>
      </c>
      <c r="AT697" s="17"/>
      <c r="AU697" s="30" t="s">
        <v>8607</v>
      </c>
      <c r="AV697" s="14">
        <v>12483</v>
      </c>
      <c r="AW697" s="74"/>
      <c r="AX697" s="1"/>
      <c r="AY697" s="17" t="s">
        <v>101</v>
      </c>
    </row>
    <row r="698" spans="1:51" ht="12.75" customHeight="1" x14ac:dyDescent="0.25">
      <c r="A698" s="5">
        <v>671</v>
      </c>
      <c r="B698" s="9">
        <v>671</v>
      </c>
      <c r="C698" s="9" t="s">
        <v>8608</v>
      </c>
      <c r="D698" s="57" t="str">
        <f>HYPERLINK("http://prodenv.dep.state.fl.us/DepNexus/public/electronic-documents/OG_671/facility!search","OG_671_Docs")</f>
        <v>OG_671_Docs</v>
      </c>
      <c r="E698" s="57" t="str">
        <f>HYPERLINK("https://ca.dep.state.fl.us/mapdirect/?focus=oilandgas&amp;zoom=query&amp;querytype=oilandgas&amp;queryvalues=OG_671","OG_671_Map")</f>
        <v>OG_671_Map</v>
      </c>
      <c r="F698" s="1" t="s">
        <v>1797</v>
      </c>
      <c r="G698" s="1" t="s">
        <v>79</v>
      </c>
      <c r="H698" s="1" t="s">
        <v>8609</v>
      </c>
      <c r="I698" s="1" t="s">
        <v>8610</v>
      </c>
      <c r="J698" s="17" t="s">
        <v>82</v>
      </c>
      <c r="K698" s="17" t="s">
        <v>83</v>
      </c>
      <c r="L698" s="17"/>
      <c r="M698" s="17"/>
      <c r="N698" s="52" t="s">
        <v>7568</v>
      </c>
      <c r="O698" s="17" t="s">
        <v>86</v>
      </c>
      <c r="P698" s="17" t="s">
        <v>86</v>
      </c>
      <c r="Q698" s="81" t="s">
        <v>8611</v>
      </c>
      <c r="R698" s="11">
        <v>30.963463000000001</v>
      </c>
      <c r="S698" s="11">
        <v>-87.021797000000007</v>
      </c>
      <c r="T698" s="11" t="s">
        <v>8612</v>
      </c>
      <c r="U698" s="11" t="s">
        <v>8613</v>
      </c>
      <c r="V698" s="17" t="s">
        <v>8614</v>
      </c>
      <c r="W698" s="23" t="s">
        <v>110</v>
      </c>
      <c r="X698" s="70">
        <v>236</v>
      </c>
      <c r="Y698" s="70">
        <v>214.5</v>
      </c>
      <c r="Z698" s="13">
        <v>26820</v>
      </c>
      <c r="AA698" s="13">
        <v>26889</v>
      </c>
      <c r="AB698" s="13"/>
      <c r="AC698" s="13">
        <v>26972</v>
      </c>
      <c r="AD698" s="86">
        <v>15369</v>
      </c>
      <c r="AE698" s="86">
        <v>15369</v>
      </c>
      <c r="AF698" s="70" t="s">
        <v>94</v>
      </c>
      <c r="AG698" s="23" t="s">
        <v>7900</v>
      </c>
      <c r="AH698" s="17" t="s">
        <v>94</v>
      </c>
      <c r="AI698" s="70" t="s">
        <v>94</v>
      </c>
      <c r="AJ698" s="17" t="s">
        <v>94</v>
      </c>
      <c r="AK698" s="17" t="s">
        <v>95</v>
      </c>
      <c r="AL698" s="17" t="s">
        <v>8615</v>
      </c>
      <c r="AM698" s="17" t="s">
        <v>95</v>
      </c>
      <c r="AN698" s="17" t="s">
        <v>94</v>
      </c>
      <c r="AO698" s="17" t="s">
        <v>98</v>
      </c>
      <c r="AP698" s="17" t="s">
        <v>98</v>
      </c>
      <c r="AQ698" s="17" t="s">
        <v>98</v>
      </c>
      <c r="AR698" s="17" t="s">
        <v>94</v>
      </c>
      <c r="AS698" s="17" t="s">
        <v>8616</v>
      </c>
      <c r="AT698" s="17"/>
      <c r="AU698" s="30" t="s">
        <v>8617</v>
      </c>
      <c r="AV698" s="14">
        <v>12040</v>
      </c>
      <c r="AW698" s="74"/>
      <c r="AX698" s="1"/>
      <c r="AY698" s="17" t="s">
        <v>101</v>
      </c>
    </row>
    <row r="699" spans="1:51" ht="12.75" customHeight="1" x14ac:dyDescent="0.25">
      <c r="A699" s="5">
        <v>672</v>
      </c>
      <c r="B699" s="9">
        <v>672</v>
      </c>
      <c r="C699" s="9" t="s">
        <v>8618</v>
      </c>
      <c r="D699" s="57" t="str">
        <f>HYPERLINK("http://prodenv.dep.state.fl.us/DepNexus/public/electronic-documents/OG_672/facility!search","OG_672_Docs")</f>
        <v>OG_672_Docs</v>
      </c>
      <c r="E699" s="57" t="str">
        <f>HYPERLINK("https://ca.dep.state.fl.us/mapdirect/?focus=oilandgas&amp;zoom=query&amp;querytype=oilandgas&amp;queryvalues=OG_672","OG_672_Map")</f>
        <v>OG_672_Map</v>
      </c>
      <c r="F699" s="1" t="s">
        <v>1797</v>
      </c>
      <c r="G699" s="1" t="s">
        <v>79</v>
      </c>
      <c r="H699" s="1" t="s">
        <v>8619</v>
      </c>
      <c r="I699" s="1" t="s">
        <v>8620</v>
      </c>
      <c r="J699" s="17" t="s">
        <v>82</v>
      </c>
      <c r="K699" s="17" t="s">
        <v>83</v>
      </c>
      <c r="L699" s="17"/>
      <c r="M699" s="17"/>
      <c r="N699" s="52" t="s">
        <v>5949</v>
      </c>
      <c r="O699" s="17" t="s">
        <v>86</v>
      </c>
      <c r="P699" s="17" t="s">
        <v>86</v>
      </c>
      <c r="Q699" s="81" t="s">
        <v>8621</v>
      </c>
      <c r="R699" s="11">
        <v>30.866365999999999</v>
      </c>
      <c r="S699" s="11">
        <v>-87.077794999999995</v>
      </c>
      <c r="T699" s="11" t="s">
        <v>8622</v>
      </c>
      <c r="U699" s="11" t="s">
        <v>8623</v>
      </c>
      <c r="V699" s="17" t="s">
        <v>8624</v>
      </c>
      <c r="W699" s="23" t="s">
        <v>110</v>
      </c>
      <c r="X699" s="70">
        <v>148</v>
      </c>
      <c r="Y699" s="70">
        <v>130</v>
      </c>
      <c r="Z699" s="13">
        <v>26820</v>
      </c>
      <c r="AA699" s="13">
        <v>26834</v>
      </c>
      <c r="AB699" s="13"/>
      <c r="AC699" s="13">
        <v>26880</v>
      </c>
      <c r="AD699" s="86">
        <v>15600</v>
      </c>
      <c r="AE699" s="86">
        <v>15600</v>
      </c>
      <c r="AF699" s="71" t="s">
        <v>8625</v>
      </c>
      <c r="AG699" s="23" t="s">
        <v>8626</v>
      </c>
      <c r="AH699" s="17" t="s">
        <v>94</v>
      </c>
      <c r="AI699" s="70" t="s">
        <v>94</v>
      </c>
      <c r="AJ699" s="17" t="s">
        <v>94</v>
      </c>
      <c r="AK699" s="17" t="s">
        <v>95</v>
      </c>
      <c r="AL699" s="23" t="s">
        <v>94</v>
      </c>
      <c r="AM699" s="17" t="s">
        <v>94</v>
      </c>
      <c r="AN699" s="17" t="s">
        <v>94</v>
      </c>
      <c r="AO699" s="17" t="s">
        <v>98</v>
      </c>
      <c r="AP699" s="17" t="s">
        <v>98</v>
      </c>
      <c r="AQ699" s="17" t="s">
        <v>98</v>
      </c>
      <c r="AR699" s="17" t="s">
        <v>94</v>
      </c>
      <c r="AS699" s="23" t="s">
        <v>8627</v>
      </c>
      <c r="AT699" s="17"/>
      <c r="AU699" s="30" t="s">
        <v>8628</v>
      </c>
      <c r="AV699" s="14">
        <v>11987</v>
      </c>
      <c r="AW699" s="74"/>
      <c r="AX699" s="1"/>
      <c r="AY699" s="17" t="s">
        <v>101</v>
      </c>
    </row>
    <row r="700" spans="1:51" ht="12.75" customHeight="1" x14ac:dyDescent="0.25">
      <c r="A700" s="5">
        <v>672.1</v>
      </c>
      <c r="B700" s="9" t="s">
        <v>8629</v>
      </c>
      <c r="C700" s="9" t="s">
        <v>8618</v>
      </c>
      <c r="D700" s="57" t="str">
        <f>HYPERLINK("http://prodenv.dep.state.fl.us/DepNexus/public/electronic-documents/OG_672/facility!search","OG_672_Docs")</f>
        <v>OG_672_Docs</v>
      </c>
      <c r="E700" s="57" t="str">
        <f>HYPERLINK("https://ca.dep.state.fl.us/mapdirect/?focus=oilandgas&amp;zoom=query&amp;querytype=oilandgas&amp;queryvalues=OG_672","OG_672_Map")</f>
        <v>OG_672_Map</v>
      </c>
      <c r="F700" s="1" t="s">
        <v>1797</v>
      </c>
      <c r="G700" s="1" t="s">
        <v>79</v>
      </c>
      <c r="H700" s="1" t="s">
        <v>8619</v>
      </c>
      <c r="I700" s="1" t="s">
        <v>8630</v>
      </c>
      <c r="J700" s="17" t="s">
        <v>82</v>
      </c>
      <c r="K700" s="17" t="s">
        <v>83</v>
      </c>
      <c r="L700" s="17"/>
      <c r="M700" s="17"/>
      <c r="N700" s="52" t="s">
        <v>5949</v>
      </c>
      <c r="O700" s="17" t="s">
        <v>86</v>
      </c>
      <c r="P700" s="17" t="s">
        <v>86</v>
      </c>
      <c r="Q700" s="81" t="s">
        <v>8621</v>
      </c>
      <c r="R700" s="11">
        <v>30.866365999999999</v>
      </c>
      <c r="S700" s="11">
        <v>-87.077794999999995</v>
      </c>
      <c r="T700" s="11" t="s">
        <v>8622</v>
      </c>
      <c r="U700" s="11" t="s">
        <v>8623</v>
      </c>
      <c r="V700" s="17" t="s">
        <v>8624</v>
      </c>
      <c r="W700" s="23" t="s">
        <v>8631</v>
      </c>
      <c r="X700" s="70">
        <v>148</v>
      </c>
      <c r="Y700" s="70">
        <v>130</v>
      </c>
      <c r="Z700" s="13">
        <v>26911</v>
      </c>
      <c r="AA700" s="13">
        <v>26884</v>
      </c>
      <c r="AB700" s="13"/>
      <c r="AC700" s="13">
        <v>26960</v>
      </c>
      <c r="AD700" s="86">
        <v>15500</v>
      </c>
      <c r="AE700" s="86">
        <v>15715</v>
      </c>
      <c r="AF700" s="71" t="s">
        <v>8625</v>
      </c>
      <c r="AG700" s="23" t="s">
        <v>8626</v>
      </c>
      <c r="AH700" s="17" t="s">
        <v>94</v>
      </c>
      <c r="AI700" s="70" t="s">
        <v>94</v>
      </c>
      <c r="AJ700" s="17" t="s">
        <v>94</v>
      </c>
      <c r="AK700" s="17" t="s">
        <v>95</v>
      </c>
      <c r="AL700" s="23" t="s">
        <v>94</v>
      </c>
      <c r="AM700" s="17" t="s">
        <v>94</v>
      </c>
      <c r="AN700" s="17" t="s">
        <v>94</v>
      </c>
      <c r="AO700" s="17" t="s">
        <v>98</v>
      </c>
      <c r="AP700" s="17" t="s">
        <v>98</v>
      </c>
      <c r="AQ700" s="17" t="s">
        <v>98</v>
      </c>
      <c r="AR700" s="23" t="s">
        <v>94</v>
      </c>
      <c r="AS700" s="23" t="s">
        <v>8632</v>
      </c>
      <c r="AT700" s="17"/>
      <c r="AU700" s="30" t="s">
        <v>8633</v>
      </c>
      <c r="AV700" s="14">
        <v>11987</v>
      </c>
      <c r="AW700" s="74"/>
      <c r="AX700" s="1"/>
      <c r="AY700" s="17" t="s">
        <v>101</v>
      </c>
    </row>
    <row r="701" spans="1:51" ht="12.75" customHeight="1" x14ac:dyDescent="0.25">
      <c r="A701" s="5">
        <v>673</v>
      </c>
      <c r="B701" s="9">
        <v>673</v>
      </c>
      <c r="C701" s="9" t="s">
        <v>8634</v>
      </c>
      <c r="D701" s="57" t="str">
        <f>HYPERLINK("http://prodenv.dep.state.fl.us/DepNexus/public/electronic-documents/OG_673/facility!search","OG_673_Docs")</f>
        <v>OG_673_Docs</v>
      </c>
      <c r="E701" s="57" t="str">
        <f>HYPERLINK("https://ca.dep.state.fl.us/mapdirect/?focus=oilandgas&amp;zoom=query&amp;querytype=oilandgas&amp;queryvalues=OG_673","OG_673_Map")</f>
        <v>OG_673_Map</v>
      </c>
      <c r="F701" s="1" t="s">
        <v>1797</v>
      </c>
      <c r="G701" s="1" t="s">
        <v>79</v>
      </c>
      <c r="H701" s="1" t="s">
        <v>8635</v>
      </c>
      <c r="I701" s="1" t="s">
        <v>8636</v>
      </c>
      <c r="J701" s="17" t="s">
        <v>82</v>
      </c>
      <c r="K701" s="17" t="s">
        <v>83</v>
      </c>
      <c r="L701" s="17"/>
      <c r="M701" s="17"/>
      <c r="N701" s="52" t="s">
        <v>4735</v>
      </c>
      <c r="O701" s="17" t="s">
        <v>86</v>
      </c>
      <c r="P701" s="17" t="s">
        <v>86</v>
      </c>
      <c r="Q701" s="81" t="s">
        <v>8637</v>
      </c>
      <c r="R701" s="11">
        <v>30.840681</v>
      </c>
      <c r="S701" s="11">
        <v>-87.179244999999995</v>
      </c>
      <c r="T701" s="11" t="s">
        <v>8638</v>
      </c>
      <c r="U701" s="11" t="s">
        <v>8639</v>
      </c>
      <c r="V701" s="17" t="s">
        <v>8640</v>
      </c>
      <c r="W701" s="17" t="s">
        <v>110</v>
      </c>
      <c r="X701" s="70">
        <v>237</v>
      </c>
      <c r="Y701" s="70">
        <v>219</v>
      </c>
      <c r="Z701" s="13">
        <v>26820</v>
      </c>
      <c r="AA701" s="13">
        <v>26827</v>
      </c>
      <c r="AB701" s="13"/>
      <c r="AC701" s="13">
        <v>26876</v>
      </c>
      <c r="AD701" s="86">
        <v>16725</v>
      </c>
      <c r="AE701" s="86">
        <v>16725</v>
      </c>
      <c r="AF701" s="71" t="s">
        <v>8641</v>
      </c>
      <c r="AG701" s="23" t="s">
        <v>8642</v>
      </c>
      <c r="AH701" s="17" t="s">
        <v>94</v>
      </c>
      <c r="AI701" s="70" t="s">
        <v>94</v>
      </c>
      <c r="AJ701" s="17" t="s">
        <v>94</v>
      </c>
      <c r="AK701" s="17" t="s">
        <v>95</v>
      </c>
      <c r="AL701" s="23" t="s">
        <v>8643</v>
      </c>
      <c r="AM701" s="17" t="s">
        <v>94</v>
      </c>
      <c r="AN701" s="17" t="s">
        <v>94</v>
      </c>
      <c r="AO701" s="17" t="s">
        <v>98</v>
      </c>
      <c r="AP701" s="17" t="s">
        <v>98</v>
      </c>
      <c r="AQ701" s="17" t="s">
        <v>98</v>
      </c>
      <c r="AR701" s="17" t="s">
        <v>94</v>
      </c>
      <c r="AS701" s="23" t="s">
        <v>8644</v>
      </c>
      <c r="AT701" s="17"/>
      <c r="AU701" s="30" t="s">
        <v>8645</v>
      </c>
      <c r="AV701" s="14">
        <v>11911</v>
      </c>
      <c r="AW701" s="74"/>
      <c r="AX701" s="1"/>
      <c r="AY701" s="17" t="s">
        <v>101</v>
      </c>
    </row>
    <row r="702" spans="1:51" ht="12.75" customHeight="1" x14ac:dyDescent="0.25">
      <c r="A702" s="5">
        <v>674</v>
      </c>
      <c r="B702" s="9">
        <v>674</v>
      </c>
      <c r="C702" s="9" t="s">
        <v>8646</v>
      </c>
      <c r="D702" s="57" t="str">
        <f>HYPERLINK("http://prodenv.dep.state.fl.us/DepNexus/public/electronic-documents/OG_674/facility!search","OG_674_Docs")</f>
        <v>OG_674_Docs</v>
      </c>
      <c r="E702" s="57" t="str">
        <f>HYPERLINK("https://ca.dep.state.fl.us/mapdirect/?focus=oilandgas&amp;zoom=query&amp;querytype=oilandgas&amp;queryvalues=OG_674","OG_674_Map")</f>
        <v>OG_674_Map</v>
      </c>
      <c r="F702" s="1" t="s">
        <v>1797</v>
      </c>
      <c r="G702" s="1" t="s">
        <v>5133</v>
      </c>
      <c r="H702" s="1" t="s">
        <v>8647</v>
      </c>
      <c r="I702" s="1" t="s">
        <v>8648</v>
      </c>
      <c r="J702" s="17" t="s">
        <v>268</v>
      </c>
      <c r="K702" s="17" t="s">
        <v>2105</v>
      </c>
      <c r="L702" s="17"/>
      <c r="M702" s="17"/>
      <c r="N702" s="52" t="s">
        <v>8649</v>
      </c>
      <c r="O702" s="17" t="s">
        <v>86</v>
      </c>
      <c r="P702" s="17" t="s">
        <v>86</v>
      </c>
      <c r="Q702" s="81" t="s">
        <v>8650</v>
      </c>
      <c r="R702" s="11">
        <v>30.932701000000002</v>
      </c>
      <c r="S702" s="11">
        <v>-87.128608999999997</v>
      </c>
      <c r="T702" s="11" t="s">
        <v>8651</v>
      </c>
      <c r="U702" s="11" t="s">
        <v>8652</v>
      </c>
      <c r="V702" s="17" t="s">
        <v>8653</v>
      </c>
      <c r="W702" s="17" t="s">
        <v>110</v>
      </c>
      <c r="X702" s="70">
        <v>249</v>
      </c>
      <c r="Y702" s="70">
        <v>230</v>
      </c>
      <c r="Z702" s="13">
        <v>26820</v>
      </c>
      <c r="AA702" s="13">
        <v>26839</v>
      </c>
      <c r="AB702" s="13"/>
      <c r="AC702" s="13">
        <v>26989</v>
      </c>
      <c r="AD702" s="86">
        <v>15905</v>
      </c>
      <c r="AE702" s="86">
        <v>15905</v>
      </c>
      <c r="AF702" s="70" t="s">
        <v>6224</v>
      </c>
      <c r="AG702" s="17" t="s">
        <v>8654</v>
      </c>
      <c r="AH702" s="17" t="s">
        <v>94</v>
      </c>
      <c r="AI702" s="70" t="s">
        <v>94</v>
      </c>
      <c r="AJ702" s="17" t="s">
        <v>94</v>
      </c>
      <c r="AK702" s="17" t="s">
        <v>95</v>
      </c>
      <c r="AL702" s="17" t="s">
        <v>8655</v>
      </c>
      <c r="AM702" s="17" t="s">
        <v>94</v>
      </c>
      <c r="AN702" s="17" t="s">
        <v>94</v>
      </c>
      <c r="AO702" s="17" t="s">
        <v>94</v>
      </c>
      <c r="AP702" s="17" t="s">
        <v>94</v>
      </c>
      <c r="AQ702" s="17" t="s">
        <v>94</v>
      </c>
      <c r="AR702" s="17" t="s">
        <v>94</v>
      </c>
      <c r="AS702" s="17" t="s">
        <v>8656</v>
      </c>
      <c r="AT702" s="17"/>
      <c r="AU702" s="30" t="s">
        <v>8657</v>
      </c>
      <c r="AV702" s="14">
        <v>12015</v>
      </c>
      <c r="AW702" s="74"/>
      <c r="AX702" s="1"/>
      <c r="AY702" s="17" t="s">
        <v>101</v>
      </c>
    </row>
    <row r="703" spans="1:51" ht="12.75" customHeight="1" x14ac:dyDescent="0.25">
      <c r="A703" s="5">
        <v>674.1</v>
      </c>
      <c r="B703" s="9" t="s">
        <v>8658</v>
      </c>
      <c r="C703" s="9" t="s">
        <v>8646</v>
      </c>
      <c r="D703" s="57" t="str">
        <f>HYPERLINK("http://prodenv.dep.state.fl.us/DepNexus/public/electronic-documents/OG_674/facility!search","OG_674_Docs")</f>
        <v>OG_674_Docs</v>
      </c>
      <c r="E703" s="57" t="str">
        <f>HYPERLINK("https://ca.dep.state.fl.us/mapdirect/?focus=oilandgas&amp;zoom=query&amp;querytype=oilandgas&amp;queryvalues=OG_674","OG_674_Map")</f>
        <v>OG_674_Map</v>
      </c>
      <c r="F703" s="1" t="s">
        <v>1797</v>
      </c>
      <c r="G703" s="1" t="s">
        <v>5133</v>
      </c>
      <c r="H703" s="1" t="s">
        <v>8647</v>
      </c>
      <c r="I703" s="1" t="s">
        <v>8659</v>
      </c>
      <c r="J703" s="17" t="s">
        <v>268</v>
      </c>
      <c r="K703" s="17" t="s">
        <v>2105</v>
      </c>
      <c r="L703" s="17"/>
      <c r="M703" s="17"/>
      <c r="N703" s="52" t="s">
        <v>8660</v>
      </c>
      <c r="O703" s="17" t="s">
        <v>86</v>
      </c>
      <c r="P703" s="17" t="s">
        <v>86</v>
      </c>
      <c r="Q703" s="81" t="s">
        <v>8650</v>
      </c>
      <c r="R703" s="11">
        <v>30.932701000000002</v>
      </c>
      <c r="S703" s="11">
        <v>-87.128608999999997</v>
      </c>
      <c r="T703" s="11" t="s">
        <v>8651</v>
      </c>
      <c r="U703" s="11" t="s">
        <v>8652</v>
      </c>
      <c r="V703" s="17" t="s">
        <v>8653</v>
      </c>
      <c r="W703" s="23" t="s">
        <v>8661</v>
      </c>
      <c r="X703" s="70">
        <v>249</v>
      </c>
      <c r="Y703" s="70">
        <v>230</v>
      </c>
      <c r="Z703" s="13">
        <v>27002</v>
      </c>
      <c r="AA703" s="13">
        <v>27008</v>
      </c>
      <c r="AB703" s="13"/>
      <c r="AC703" s="13">
        <v>27137</v>
      </c>
      <c r="AD703" s="86">
        <v>15882</v>
      </c>
      <c r="AE703" s="70">
        <v>15888</v>
      </c>
      <c r="AF703" s="70" t="s">
        <v>6224</v>
      </c>
      <c r="AG703" s="17" t="s">
        <v>8654</v>
      </c>
      <c r="AH703" s="17" t="s">
        <v>94</v>
      </c>
      <c r="AI703" s="70" t="s">
        <v>8662</v>
      </c>
      <c r="AJ703" s="17" t="s">
        <v>94</v>
      </c>
      <c r="AK703" s="17" t="s">
        <v>94</v>
      </c>
      <c r="AL703" s="17" t="s">
        <v>8663</v>
      </c>
      <c r="AM703" s="17" t="s">
        <v>94</v>
      </c>
      <c r="AN703" s="17"/>
      <c r="AO703" s="17" t="s">
        <v>8664</v>
      </c>
      <c r="AP703" s="17" t="s">
        <v>94</v>
      </c>
      <c r="AQ703" s="17" t="s">
        <v>5617</v>
      </c>
      <c r="AR703" s="17" t="s">
        <v>8665</v>
      </c>
      <c r="AS703" s="23" t="s">
        <v>8666</v>
      </c>
      <c r="AT703" s="17"/>
      <c r="AU703" s="30" t="s">
        <v>8667</v>
      </c>
      <c r="AV703" s="14">
        <v>12208</v>
      </c>
      <c r="AW703" s="74"/>
      <c r="AX703" s="1"/>
      <c r="AY703" s="17" t="s">
        <v>101</v>
      </c>
    </row>
    <row r="704" spans="1:51" ht="15" customHeight="1" x14ac:dyDescent="0.25">
      <c r="A704" s="5">
        <v>675</v>
      </c>
      <c r="B704" s="9">
        <v>675</v>
      </c>
      <c r="C704" s="9" t="s">
        <v>8668</v>
      </c>
      <c r="D704" s="57" t="str">
        <f>HYPERLINK("http://prodenv.dep.state.fl.us/DepNexus/public/electronic-documents/OG_675/facility!search","OG_675_Docs")</f>
        <v>OG_675_Docs</v>
      </c>
      <c r="E704" s="57" t="str">
        <f>HYPERLINK("https://ca.dep.state.fl.us/mapdirect/?focus=oilandgas&amp;zoom=query&amp;querytype=oilandgas&amp;queryvalues=OG_675","OG_675_Map")</f>
        <v>OG_675_Map</v>
      </c>
      <c r="F704" s="1" t="s">
        <v>1797</v>
      </c>
      <c r="G704" s="1" t="s">
        <v>1798</v>
      </c>
      <c r="H704" s="1" t="s">
        <v>5605</v>
      </c>
      <c r="I704" s="1" t="s">
        <v>8669</v>
      </c>
      <c r="J704" s="17" t="s">
        <v>82</v>
      </c>
      <c r="K704" s="17" t="s">
        <v>83</v>
      </c>
      <c r="L704" s="17"/>
      <c r="M704" s="17"/>
      <c r="N704" s="52" t="s">
        <v>6945</v>
      </c>
      <c r="O704" s="17" t="s">
        <v>86</v>
      </c>
      <c r="P704" s="17" t="s">
        <v>86</v>
      </c>
      <c r="Q704" s="81" t="s">
        <v>8670</v>
      </c>
      <c r="R704" s="11">
        <v>30.972356999999999</v>
      </c>
      <c r="S704" s="11">
        <v>-87.125934999999998</v>
      </c>
      <c r="T704" s="11" t="s">
        <v>8671</v>
      </c>
      <c r="U704" s="11" t="s">
        <v>8672</v>
      </c>
      <c r="V704" s="17" t="s">
        <v>8673</v>
      </c>
      <c r="W704" s="17" t="s">
        <v>8674</v>
      </c>
      <c r="X704" s="70">
        <v>272.73</v>
      </c>
      <c r="Y704" s="70">
        <v>249.53</v>
      </c>
      <c r="Z704" s="13">
        <v>26820</v>
      </c>
      <c r="AA704" s="13">
        <v>26849</v>
      </c>
      <c r="AB704" s="13"/>
      <c r="AC704" s="13">
        <v>26909</v>
      </c>
      <c r="AD704" s="86">
        <v>15753</v>
      </c>
      <c r="AE704" s="70">
        <v>15759</v>
      </c>
      <c r="AF704" s="70" t="s">
        <v>6428</v>
      </c>
      <c r="AG704" s="17" t="s">
        <v>8675</v>
      </c>
      <c r="AH704" s="17" t="s">
        <v>94</v>
      </c>
      <c r="AI704" s="70" t="s">
        <v>94</v>
      </c>
      <c r="AJ704" s="17" t="s">
        <v>94</v>
      </c>
      <c r="AK704" s="17" t="s">
        <v>94</v>
      </c>
      <c r="AL704" s="17" t="s">
        <v>8676</v>
      </c>
      <c r="AM704" s="17" t="s">
        <v>95</v>
      </c>
      <c r="AN704" s="17" t="s">
        <v>94</v>
      </c>
      <c r="AO704" s="17" t="s">
        <v>98</v>
      </c>
      <c r="AP704" s="17" t="s">
        <v>98</v>
      </c>
      <c r="AQ704" s="17" t="s">
        <v>98</v>
      </c>
      <c r="AR704" s="17" t="s">
        <v>94</v>
      </c>
      <c r="AS704" s="17" t="s">
        <v>8677</v>
      </c>
      <c r="AT704" s="17"/>
      <c r="AU704" s="30" t="s">
        <v>8678</v>
      </c>
      <c r="AV704" s="14">
        <v>12092</v>
      </c>
      <c r="AW704" s="74"/>
      <c r="AX704" s="1"/>
      <c r="AY704" s="17" t="s">
        <v>101</v>
      </c>
    </row>
    <row r="705" spans="1:51" ht="15" customHeight="1" x14ac:dyDescent="0.25">
      <c r="A705" s="5">
        <v>676</v>
      </c>
      <c r="B705" s="9">
        <v>676</v>
      </c>
      <c r="C705" s="9" t="s">
        <v>8679</v>
      </c>
      <c r="D705" s="57" t="str">
        <f>HYPERLINK("http://prodenv.dep.state.fl.us/DepNexus/public/electronic-documents/OG_676/facility!search","OG_676_Docs")</f>
        <v>OG_676_Docs</v>
      </c>
      <c r="E705" s="57" t="str">
        <f>HYPERLINK("https://ca.dep.state.fl.us/mapdirect/?focus=oilandgas&amp;zoom=query&amp;querytype=oilandgas&amp;queryvalues=OG_676","OG_676_Map")</f>
        <v>OG_676_Map</v>
      </c>
      <c r="F705" s="1" t="s">
        <v>1682</v>
      </c>
      <c r="G705" s="1" t="s">
        <v>5133</v>
      </c>
      <c r="H705" s="1" t="s">
        <v>1363</v>
      </c>
      <c r="I705" s="1" t="s">
        <v>8680</v>
      </c>
      <c r="J705" s="17" t="s">
        <v>1476</v>
      </c>
      <c r="K705" s="17" t="s">
        <v>412</v>
      </c>
      <c r="L705" s="17"/>
      <c r="M705" s="17"/>
      <c r="N705" s="52" t="s">
        <v>6470</v>
      </c>
      <c r="O705" s="17" t="s">
        <v>86</v>
      </c>
      <c r="P705" s="17" t="s">
        <v>86</v>
      </c>
      <c r="Q705" s="81" t="s">
        <v>8681</v>
      </c>
      <c r="R705" s="11">
        <v>30.974079</v>
      </c>
      <c r="S705" s="11">
        <v>-87.208308000000002</v>
      </c>
      <c r="T705" s="11" t="s">
        <v>8682</v>
      </c>
      <c r="U705" s="11" t="s">
        <v>8683</v>
      </c>
      <c r="V705" s="17" t="s">
        <v>8684</v>
      </c>
      <c r="W705" s="17" t="s">
        <v>110</v>
      </c>
      <c r="X705" s="70">
        <v>80</v>
      </c>
      <c r="Y705" s="70">
        <v>54</v>
      </c>
      <c r="Z705" s="13">
        <v>26834</v>
      </c>
      <c r="AA705" s="13">
        <v>26884</v>
      </c>
      <c r="AB705" s="13">
        <v>26967</v>
      </c>
      <c r="AC705" s="13">
        <v>45815</v>
      </c>
      <c r="AD705" s="86">
        <v>16046</v>
      </c>
      <c r="AE705" s="86">
        <v>16046</v>
      </c>
      <c r="AF705" s="70" t="s">
        <v>8685</v>
      </c>
      <c r="AG705" s="17" t="s">
        <v>8686</v>
      </c>
      <c r="AH705" s="17" t="s">
        <v>94</v>
      </c>
      <c r="AI705" s="70" t="s">
        <v>8687</v>
      </c>
      <c r="AJ705" s="17" t="s">
        <v>8688</v>
      </c>
      <c r="AK705" s="17" t="s">
        <v>95</v>
      </c>
      <c r="AL705" s="17" t="s">
        <v>8689</v>
      </c>
      <c r="AM705" s="17" t="s">
        <v>95</v>
      </c>
      <c r="AN705" s="17" t="s">
        <v>94</v>
      </c>
      <c r="AO705" s="17" t="s">
        <v>8690</v>
      </c>
      <c r="AP705" s="17" t="s">
        <v>8691</v>
      </c>
      <c r="AQ705" s="17" t="s">
        <v>8692</v>
      </c>
      <c r="AR705" s="17" t="s">
        <v>8693</v>
      </c>
      <c r="AS705" s="17" t="s">
        <v>8694</v>
      </c>
      <c r="AT705" s="17"/>
      <c r="AU705" s="30" t="s">
        <v>8695</v>
      </c>
      <c r="AV705" s="14">
        <v>12049</v>
      </c>
      <c r="AW705" s="74">
        <v>309828</v>
      </c>
      <c r="AX705" s="1"/>
      <c r="AY705" s="17" t="s">
        <v>101</v>
      </c>
    </row>
    <row r="706" spans="1:51" ht="12.75" customHeight="1" x14ac:dyDescent="0.25">
      <c r="A706" s="5">
        <v>677</v>
      </c>
      <c r="B706" s="9">
        <v>677</v>
      </c>
      <c r="C706" s="9" t="s">
        <v>8696</v>
      </c>
      <c r="D706" s="57" t="str">
        <f>HYPERLINK("http://prodenv.dep.state.fl.us/DepNexus/public/electronic-documents/OG_677/facility!search","OG_677_Docs")</f>
        <v>OG_677_Docs</v>
      </c>
      <c r="E706" s="57" t="str">
        <f>HYPERLINK("https://ca.dep.state.fl.us/mapdirect/?focus=oilandgas&amp;zoom=query&amp;querytype=oilandgas&amp;queryvalues=OG_677","OG_677_Map")</f>
        <v>OG_677_Map</v>
      </c>
      <c r="F706" s="1" t="s">
        <v>1797</v>
      </c>
      <c r="G706" s="1" t="s">
        <v>5133</v>
      </c>
      <c r="H706" s="1" t="s">
        <v>8261</v>
      </c>
      <c r="I706" s="1" t="s">
        <v>8697</v>
      </c>
      <c r="J706" s="17" t="s">
        <v>268</v>
      </c>
      <c r="K706" s="17" t="s">
        <v>5048</v>
      </c>
      <c r="L706" s="17"/>
      <c r="M706" s="17"/>
      <c r="N706" s="52" t="s">
        <v>8698</v>
      </c>
      <c r="O706" s="17" t="s">
        <v>86</v>
      </c>
      <c r="P706" s="17" t="s">
        <v>86</v>
      </c>
      <c r="Q706" s="81" t="s">
        <v>8699</v>
      </c>
      <c r="R706" s="11">
        <v>30.915279999999999</v>
      </c>
      <c r="S706" s="11">
        <v>-87.145953000000006</v>
      </c>
      <c r="T706" s="11" t="s">
        <v>8700</v>
      </c>
      <c r="U706" s="11" t="s">
        <v>8701</v>
      </c>
      <c r="V706" s="17" t="s">
        <v>8702</v>
      </c>
      <c r="W706" s="17" t="s">
        <v>110</v>
      </c>
      <c r="X706" s="70">
        <v>232</v>
      </c>
      <c r="Y706" s="70">
        <v>200</v>
      </c>
      <c r="Z706" s="13">
        <v>26834</v>
      </c>
      <c r="AA706" s="13">
        <v>26846</v>
      </c>
      <c r="AB706" s="13">
        <v>26892</v>
      </c>
      <c r="AC706" s="13">
        <v>39340</v>
      </c>
      <c r="AD706" s="86">
        <v>15946</v>
      </c>
      <c r="AE706" s="86">
        <v>15946</v>
      </c>
      <c r="AF706" s="70" t="s">
        <v>8516</v>
      </c>
      <c r="AG706" s="17" t="s">
        <v>8703</v>
      </c>
      <c r="AH706" s="17" t="s">
        <v>94</v>
      </c>
      <c r="AI706" s="70" t="s">
        <v>8704</v>
      </c>
      <c r="AJ706" s="17" t="s">
        <v>8705</v>
      </c>
      <c r="AK706" s="17" t="s">
        <v>94</v>
      </c>
      <c r="AL706" s="17" t="s">
        <v>8706</v>
      </c>
      <c r="AM706" s="17" t="s">
        <v>94</v>
      </c>
      <c r="AN706" s="17" t="s">
        <v>86</v>
      </c>
      <c r="AO706" s="17" t="s">
        <v>94</v>
      </c>
      <c r="AP706" s="17" t="s">
        <v>94</v>
      </c>
      <c r="AQ706" s="17" t="s">
        <v>94</v>
      </c>
      <c r="AR706" s="17" t="s">
        <v>8707</v>
      </c>
      <c r="AS706" s="23" t="s">
        <v>8708</v>
      </c>
      <c r="AT706" s="17">
        <v>244</v>
      </c>
      <c r="AU706" s="30" t="s">
        <v>8709</v>
      </c>
      <c r="AV706" s="14">
        <v>11926</v>
      </c>
      <c r="AW706" s="74"/>
      <c r="AX706" s="1" t="s">
        <v>8710</v>
      </c>
      <c r="AY706" s="17" t="s">
        <v>101</v>
      </c>
    </row>
    <row r="707" spans="1:51" ht="15" customHeight="1" x14ac:dyDescent="0.25">
      <c r="A707" s="5">
        <v>678</v>
      </c>
      <c r="B707" s="9">
        <v>678</v>
      </c>
      <c r="C707" s="9" t="s">
        <v>8711</v>
      </c>
      <c r="D707" s="57" t="str">
        <f>HYPERLINK("http://prodenv.dep.state.fl.us/DepNexus/public/electronic-documents/OG_678/facility!search","OG_678_Docs")</f>
        <v>OG_678_Docs</v>
      </c>
      <c r="E707" s="57" t="str">
        <f>HYPERLINK("https://ca.dep.state.fl.us/mapdirect/?focus=oilandgas&amp;zoom=query&amp;querytype=oilandgas&amp;queryvalues=OG_678","OG_678_Map")</f>
        <v>OG_678_Map</v>
      </c>
      <c r="F707" s="1" t="s">
        <v>1797</v>
      </c>
      <c r="G707" s="1" t="s">
        <v>6648</v>
      </c>
      <c r="H707" s="1" t="s">
        <v>6668</v>
      </c>
      <c r="I707" s="1" t="s">
        <v>8712</v>
      </c>
      <c r="J707" s="17" t="s">
        <v>6670</v>
      </c>
      <c r="K707" s="17" t="s">
        <v>412</v>
      </c>
      <c r="L707" s="17"/>
      <c r="M707" s="17" t="s">
        <v>101</v>
      </c>
      <c r="N707" s="52" t="s">
        <v>7514</v>
      </c>
      <c r="O707" s="17" t="s">
        <v>86</v>
      </c>
      <c r="P707" s="17" t="s">
        <v>86</v>
      </c>
      <c r="Q707" s="81" t="s">
        <v>8444</v>
      </c>
      <c r="R707" s="11">
        <v>30.841055000000001</v>
      </c>
      <c r="S707" s="11">
        <v>-87.111970999999997</v>
      </c>
      <c r="T707" s="11" t="s">
        <v>8713</v>
      </c>
      <c r="U707" s="11" t="s">
        <v>8714</v>
      </c>
      <c r="V707" s="17" t="s">
        <v>8715</v>
      </c>
      <c r="W707" s="17" t="s">
        <v>8716</v>
      </c>
      <c r="X707" s="70">
        <v>227.3</v>
      </c>
      <c r="Y707" s="70">
        <v>207.7</v>
      </c>
      <c r="Z707" s="13">
        <v>26864</v>
      </c>
      <c r="AA707" s="13">
        <v>26851</v>
      </c>
      <c r="AB707" s="13"/>
      <c r="AC707" s="13">
        <v>45785</v>
      </c>
      <c r="AD707" s="86">
        <v>15832</v>
      </c>
      <c r="AE707" s="86">
        <v>16070</v>
      </c>
      <c r="AF707" s="70" t="s">
        <v>3351</v>
      </c>
      <c r="AG707" s="17" t="s">
        <v>8517</v>
      </c>
      <c r="AH707" s="17" t="s">
        <v>94</v>
      </c>
      <c r="AI707" s="70" t="s">
        <v>8717</v>
      </c>
      <c r="AJ707" s="17" t="s">
        <v>8718</v>
      </c>
      <c r="AK707" s="17" t="s">
        <v>95</v>
      </c>
      <c r="AL707" s="17" t="s">
        <v>94</v>
      </c>
      <c r="AM707" s="17" t="s">
        <v>95</v>
      </c>
      <c r="AN707" s="17" t="s">
        <v>94</v>
      </c>
      <c r="AO707" s="17" t="s">
        <v>8719</v>
      </c>
      <c r="AP707" s="17" t="s">
        <v>8720</v>
      </c>
      <c r="AQ707" s="17" t="s">
        <v>5042</v>
      </c>
      <c r="AR707" s="17" t="s">
        <v>8721</v>
      </c>
      <c r="AS707" s="17" t="s">
        <v>8722</v>
      </c>
      <c r="AT707" s="17"/>
      <c r="AU707" s="30" t="s">
        <v>8723</v>
      </c>
      <c r="AV707" s="14">
        <v>11928</v>
      </c>
      <c r="AW707" s="74">
        <v>303041</v>
      </c>
      <c r="AX707" s="1"/>
      <c r="AY707" s="17" t="s">
        <v>101</v>
      </c>
    </row>
    <row r="708" spans="1:51" ht="15" customHeight="1" x14ac:dyDescent="0.25">
      <c r="A708" s="5">
        <v>679</v>
      </c>
      <c r="B708" s="9">
        <v>679</v>
      </c>
      <c r="C708" s="9" t="s">
        <v>8724</v>
      </c>
      <c r="D708" s="57" t="str">
        <f>HYPERLINK("http://prodenv.dep.state.fl.us/DepNexus/public/electronic-documents/OG_679/facility!search","OG_679_Docs")</f>
        <v>OG_679_Docs</v>
      </c>
      <c r="E708" s="57" t="str">
        <f>HYPERLINK("https://ca.dep.state.fl.us/mapdirect/?focus=oilandgas&amp;zoom=query&amp;querytype=oilandgas&amp;queryvalues=OG_679","OG_679_Map")</f>
        <v>OG_679_Map</v>
      </c>
      <c r="F708" s="1" t="s">
        <v>7835</v>
      </c>
      <c r="G708" s="1" t="s">
        <v>79</v>
      </c>
      <c r="H708" s="1" t="s">
        <v>8093</v>
      </c>
      <c r="I708" s="1" t="s">
        <v>8725</v>
      </c>
      <c r="J708" s="17" t="s">
        <v>207</v>
      </c>
      <c r="K708" s="23" t="s">
        <v>5153</v>
      </c>
      <c r="L708" s="17"/>
      <c r="M708" s="17" t="s">
        <v>207</v>
      </c>
      <c r="N708" s="52" t="s">
        <v>86</v>
      </c>
      <c r="O708" s="17" t="s">
        <v>86</v>
      </c>
      <c r="P708" s="17" t="s">
        <v>86</v>
      </c>
      <c r="Q708" s="81" t="s">
        <v>8726</v>
      </c>
      <c r="R708" s="11">
        <v>27.336815000000001</v>
      </c>
      <c r="S708" s="11">
        <v>-81.658173000000005</v>
      </c>
      <c r="T708" s="11" t="s">
        <v>8727</v>
      </c>
      <c r="U708" s="11" t="s">
        <v>8728</v>
      </c>
      <c r="V708" s="17" t="s">
        <v>8729</v>
      </c>
      <c r="W708" s="17" t="s">
        <v>110</v>
      </c>
      <c r="X708" s="70"/>
      <c r="Y708" s="70"/>
      <c r="Z708" s="13">
        <v>26855</v>
      </c>
      <c r="AA708" s="13"/>
      <c r="AB708" s="13"/>
      <c r="AC708" s="13"/>
      <c r="AD708" s="86"/>
      <c r="AE708" s="70"/>
      <c r="AF708" s="70" t="s">
        <v>207</v>
      </c>
      <c r="AG708" s="14" t="s">
        <v>207</v>
      </c>
      <c r="AH708" s="14" t="s">
        <v>207</v>
      </c>
      <c r="AI708" s="70" t="s">
        <v>207</v>
      </c>
      <c r="AJ708" s="14" t="s">
        <v>207</v>
      </c>
      <c r="AK708" s="14" t="s">
        <v>207</v>
      </c>
      <c r="AL708" s="14" t="s">
        <v>207</v>
      </c>
      <c r="AM708" s="14" t="s">
        <v>207</v>
      </c>
      <c r="AN708" s="14" t="s">
        <v>207</v>
      </c>
      <c r="AO708" s="14" t="s">
        <v>207</v>
      </c>
      <c r="AP708" s="14" t="s">
        <v>207</v>
      </c>
      <c r="AQ708" s="14" t="s">
        <v>207</v>
      </c>
      <c r="AR708" s="14" t="s">
        <v>207</v>
      </c>
      <c r="AS708" s="14" t="s">
        <v>207</v>
      </c>
      <c r="AT708" s="17"/>
      <c r="AU708" s="30" t="s">
        <v>8730</v>
      </c>
      <c r="AV708" s="14" t="s">
        <v>207</v>
      </c>
      <c r="AW708" s="74"/>
      <c r="AX708" s="1"/>
      <c r="AY708" s="17" t="s">
        <v>101</v>
      </c>
    </row>
    <row r="709" spans="1:51" ht="15" customHeight="1" x14ac:dyDescent="0.25">
      <c r="A709" s="5">
        <v>679.1</v>
      </c>
      <c r="B709" s="9" t="s">
        <v>8731</v>
      </c>
      <c r="C709" s="9" t="s">
        <v>8724</v>
      </c>
      <c r="D709" s="57" t="str">
        <f>HYPERLINK("http://prodenv.dep.state.fl.us/DepNexus/public/electronic-documents/OG_679/facility!search","OG_679_Docs")</f>
        <v>OG_679_Docs</v>
      </c>
      <c r="E709" s="57" t="str">
        <f>HYPERLINK("https://ca.dep.state.fl.us/mapdirect/?focus=oilandgas&amp;zoom=query&amp;querytype=oilandgas&amp;queryvalues=OG_679","OG_679_Map")</f>
        <v>OG_679_Map</v>
      </c>
      <c r="F709" s="1" t="s">
        <v>7835</v>
      </c>
      <c r="G709" s="1" t="s">
        <v>79</v>
      </c>
      <c r="H709" s="1" t="s">
        <v>8093</v>
      </c>
      <c r="I709" s="1" t="s">
        <v>8725</v>
      </c>
      <c r="J709" s="17" t="s">
        <v>82</v>
      </c>
      <c r="K709" s="17" t="s">
        <v>83</v>
      </c>
      <c r="L709" s="17"/>
      <c r="M709" s="17" t="s">
        <v>101</v>
      </c>
      <c r="N709" s="52" t="s">
        <v>6529</v>
      </c>
      <c r="O709" s="17" t="s">
        <v>86</v>
      </c>
      <c r="P709" s="17" t="s">
        <v>86</v>
      </c>
      <c r="Q709" s="81" t="s">
        <v>8726</v>
      </c>
      <c r="R709" s="11">
        <v>27.336815000000001</v>
      </c>
      <c r="S709" s="11">
        <v>-81.658173000000005</v>
      </c>
      <c r="T709" s="11" t="s">
        <v>8727</v>
      </c>
      <c r="U709" s="11" t="s">
        <v>8728</v>
      </c>
      <c r="V709" s="17" t="s">
        <v>8729</v>
      </c>
      <c r="W709" s="17" t="s">
        <v>110</v>
      </c>
      <c r="X709" s="70">
        <v>119</v>
      </c>
      <c r="Y709" s="70">
        <v>95</v>
      </c>
      <c r="Z709" s="13">
        <v>27135</v>
      </c>
      <c r="AA709" s="13">
        <v>27148</v>
      </c>
      <c r="AB709" s="13">
        <v>27236</v>
      </c>
      <c r="AC709" s="13">
        <v>27236</v>
      </c>
      <c r="AD709" s="86">
        <v>10774</v>
      </c>
      <c r="AE709" s="86">
        <v>10774</v>
      </c>
      <c r="AF709" s="70" t="s">
        <v>8732</v>
      </c>
      <c r="AG709" s="17" t="s">
        <v>8733</v>
      </c>
      <c r="AH709" s="17" t="s">
        <v>8734</v>
      </c>
      <c r="AI709" s="70" t="s">
        <v>94</v>
      </c>
      <c r="AJ709" s="17" t="s">
        <v>94</v>
      </c>
      <c r="AK709" s="17" t="s">
        <v>95</v>
      </c>
      <c r="AL709" s="17" t="s">
        <v>8735</v>
      </c>
      <c r="AM709" s="17" t="s">
        <v>94</v>
      </c>
      <c r="AN709" s="17" t="s">
        <v>94</v>
      </c>
      <c r="AO709" s="17" t="s">
        <v>98</v>
      </c>
      <c r="AP709" s="17" t="s">
        <v>98</v>
      </c>
      <c r="AQ709" s="17" t="s">
        <v>98</v>
      </c>
      <c r="AR709" s="17" t="s">
        <v>94</v>
      </c>
      <c r="AS709" s="17" t="s">
        <v>8736</v>
      </c>
      <c r="AT709" s="17">
        <v>190</v>
      </c>
      <c r="AU709" s="30" t="s">
        <v>8730</v>
      </c>
      <c r="AV709" s="14">
        <v>12393</v>
      </c>
      <c r="AW709" s="74"/>
      <c r="AX709" s="1"/>
      <c r="AY709" s="17" t="s">
        <v>101</v>
      </c>
    </row>
    <row r="710" spans="1:51" ht="12.75" customHeight="1" x14ac:dyDescent="0.25">
      <c r="A710" s="5">
        <v>680</v>
      </c>
      <c r="B710" s="9">
        <v>680</v>
      </c>
      <c r="C710" s="9" t="s">
        <v>8737</v>
      </c>
      <c r="D710" s="57" t="str">
        <f>HYPERLINK("http://prodenv.dep.state.fl.us/DepNexus/public/electronic-documents/OG_680/facility!search","OG_680_Docs")</f>
        <v>OG_680_Docs</v>
      </c>
      <c r="E710" s="57" t="str">
        <f>HYPERLINK("https://ca.dep.state.fl.us/mapdirect/?focus=oilandgas&amp;zoom=query&amp;querytype=oilandgas&amp;queryvalues=OG_680","OG_680_Map")</f>
        <v>OG_680_Map</v>
      </c>
      <c r="F710" s="1" t="s">
        <v>8377</v>
      </c>
      <c r="G710" s="1" t="s">
        <v>79</v>
      </c>
      <c r="H710" s="1" t="s">
        <v>8378</v>
      </c>
      <c r="I710" s="1" t="s">
        <v>8738</v>
      </c>
      <c r="J710" s="17" t="s">
        <v>82</v>
      </c>
      <c r="K710" s="17" t="s">
        <v>83</v>
      </c>
      <c r="L710" s="17"/>
      <c r="M710" s="17"/>
      <c r="N710" s="52" t="s">
        <v>5016</v>
      </c>
      <c r="O710" s="17" t="s">
        <v>86</v>
      </c>
      <c r="P710" s="17" t="s">
        <v>86</v>
      </c>
      <c r="Q710" s="81" t="s">
        <v>8739</v>
      </c>
      <c r="R710" s="11">
        <v>30.102696999999999</v>
      </c>
      <c r="S710" s="11">
        <v>-82.449158999999995</v>
      </c>
      <c r="T710" s="11" t="s">
        <v>8740</v>
      </c>
      <c r="U710" s="11" t="s">
        <v>8741</v>
      </c>
      <c r="V710" s="17" t="s">
        <v>8742</v>
      </c>
      <c r="W710" s="17" t="s">
        <v>110</v>
      </c>
      <c r="X710" s="70">
        <v>149</v>
      </c>
      <c r="Y710" s="70">
        <v>137.59</v>
      </c>
      <c r="Z710" s="13">
        <v>26855</v>
      </c>
      <c r="AA710" s="13">
        <v>26863</v>
      </c>
      <c r="AB710" s="13">
        <v>26871</v>
      </c>
      <c r="AC710" s="13">
        <v>26871</v>
      </c>
      <c r="AD710" s="86">
        <v>3061</v>
      </c>
      <c r="AE710" s="86">
        <v>3061</v>
      </c>
      <c r="AF710" s="70" t="s">
        <v>8743</v>
      </c>
      <c r="AG710" s="17" t="s">
        <v>8744</v>
      </c>
      <c r="AH710" s="17" t="s">
        <v>94</v>
      </c>
      <c r="AI710" s="70" t="s">
        <v>94</v>
      </c>
      <c r="AJ710" s="17" t="s">
        <v>94</v>
      </c>
      <c r="AK710" s="17" t="s">
        <v>95</v>
      </c>
      <c r="AL710" s="17" t="s">
        <v>94</v>
      </c>
      <c r="AM710" s="17" t="s">
        <v>94</v>
      </c>
      <c r="AN710" s="17" t="s">
        <v>94</v>
      </c>
      <c r="AO710" s="17" t="s">
        <v>98</v>
      </c>
      <c r="AP710" s="17" t="s">
        <v>98</v>
      </c>
      <c r="AQ710" s="17" t="s">
        <v>98</v>
      </c>
      <c r="AR710" s="17" t="s">
        <v>94</v>
      </c>
      <c r="AS710" s="17" t="s">
        <v>8745</v>
      </c>
      <c r="AT710" s="17">
        <v>100</v>
      </c>
      <c r="AU710" s="30" t="s">
        <v>8746</v>
      </c>
      <c r="AV710" s="14">
        <v>11912</v>
      </c>
      <c r="AW710" s="74"/>
      <c r="AX710" s="1"/>
      <c r="AY710" s="17" t="s">
        <v>101</v>
      </c>
    </row>
    <row r="711" spans="1:51" ht="12.75" customHeight="1" x14ac:dyDescent="0.25">
      <c r="A711" s="5">
        <v>681</v>
      </c>
      <c r="B711" s="9">
        <v>681</v>
      </c>
      <c r="C711" s="9" t="s">
        <v>8747</v>
      </c>
      <c r="D711" s="57" t="str">
        <f>HYPERLINK("http://prodenv.dep.state.fl.us/DepNexus/public/electronic-documents/OG_681/facility!search","OG_681_Docs")</f>
        <v>OG_681_Docs</v>
      </c>
      <c r="E711" s="57" t="str">
        <f>HYPERLINK("https://ca.dep.state.fl.us/mapdirect/?focus=oilandgas&amp;zoom=query&amp;querytype=oilandgas&amp;queryvalues=OG_681","OG_681_Map")</f>
        <v>OG_681_Map</v>
      </c>
      <c r="F711" s="1" t="s">
        <v>1797</v>
      </c>
      <c r="G711" s="1" t="s">
        <v>79</v>
      </c>
      <c r="H711" s="1" t="s">
        <v>8748</v>
      </c>
      <c r="I711" s="1" t="s">
        <v>8749</v>
      </c>
      <c r="J711" s="17" t="s">
        <v>82</v>
      </c>
      <c r="K711" s="17" t="s">
        <v>83</v>
      </c>
      <c r="L711" s="17"/>
      <c r="M711" s="17" t="s">
        <v>84</v>
      </c>
      <c r="N711" s="52" t="s">
        <v>7568</v>
      </c>
      <c r="O711" s="17" t="s">
        <v>86</v>
      </c>
      <c r="P711" s="17" t="s">
        <v>86</v>
      </c>
      <c r="Q711" s="81" t="s">
        <v>8750</v>
      </c>
      <c r="R711" s="11">
        <v>30.627493999999999</v>
      </c>
      <c r="S711" s="11">
        <v>-86.939994999999996</v>
      </c>
      <c r="T711" s="11" t="s">
        <v>8751</v>
      </c>
      <c r="U711" s="11" t="s">
        <v>8752</v>
      </c>
      <c r="V711" s="17" t="s">
        <v>8753</v>
      </c>
      <c r="W711" s="17" t="s">
        <v>110</v>
      </c>
      <c r="X711" s="70">
        <v>153</v>
      </c>
      <c r="Y711" s="70">
        <v>135</v>
      </c>
      <c r="Z711" s="13">
        <v>26862</v>
      </c>
      <c r="AA711" s="13">
        <v>26886</v>
      </c>
      <c r="AB711" s="13"/>
      <c r="AC711" s="13">
        <v>26953</v>
      </c>
      <c r="AD711" s="86">
        <v>17050</v>
      </c>
      <c r="AE711" s="86">
        <v>17050</v>
      </c>
      <c r="AF711" s="70" t="s">
        <v>554</v>
      </c>
      <c r="AG711" s="17" t="s">
        <v>6778</v>
      </c>
      <c r="AH711" s="17" t="s">
        <v>94</v>
      </c>
      <c r="AI711" s="70" t="s">
        <v>94</v>
      </c>
      <c r="AJ711" s="17" t="s">
        <v>94</v>
      </c>
      <c r="AK711" s="17" t="s">
        <v>95</v>
      </c>
      <c r="AL711" s="17" t="s">
        <v>94</v>
      </c>
      <c r="AM711" s="17" t="s">
        <v>94</v>
      </c>
      <c r="AN711" s="17" t="s">
        <v>94</v>
      </c>
      <c r="AO711" s="17" t="s">
        <v>98</v>
      </c>
      <c r="AP711" s="17" t="s">
        <v>98</v>
      </c>
      <c r="AQ711" s="17" t="s">
        <v>98</v>
      </c>
      <c r="AR711" s="17" t="s">
        <v>94</v>
      </c>
      <c r="AS711" s="17" t="s">
        <v>8754</v>
      </c>
      <c r="AT711" s="17">
        <v>278</v>
      </c>
      <c r="AU711" s="30" t="s">
        <v>8755</v>
      </c>
      <c r="AV711" s="14">
        <v>12020</v>
      </c>
      <c r="AW711" s="74"/>
      <c r="AX711" s="1"/>
      <c r="AY711" s="17" t="s">
        <v>101</v>
      </c>
    </row>
    <row r="712" spans="1:51" ht="12.75" customHeight="1" x14ac:dyDescent="0.25">
      <c r="A712" s="5">
        <v>682</v>
      </c>
      <c r="B712" s="9">
        <v>682</v>
      </c>
      <c r="C712" s="9" t="s">
        <v>8756</v>
      </c>
      <c r="D712" s="57" t="str">
        <f>HYPERLINK("http://prodenv.dep.state.fl.us/DepNexus/public/electronic-documents/OG_682/facility!search","OG_682_Docs")</f>
        <v>OG_682_Docs</v>
      </c>
      <c r="E712" s="57" t="str">
        <f>HYPERLINK("https://ca.dep.state.fl.us/mapdirect/?focus=oilandgas&amp;zoom=query&amp;querytype=oilandgas&amp;queryvalues=OG_682","OG_682_Map")</f>
        <v>OG_682_Map</v>
      </c>
      <c r="F712" s="1" t="s">
        <v>1797</v>
      </c>
      <c r="G712" s="1" t="s">
        <v>1798</v>
      </c>
      <c r="H712" s="1" t="s">
        <v>5605</v>
      </c>
      <c r="I712" s="1" t="s">
        <v>8757</v>
      </c>
      <c r="J712" s="17" t="s">
        <v>82</v>
      </c>
      <c r="K712" s="17" t="s">
        <v>83</v>
      </c>
      <c r="L712" s="17"/>
      <c r="M712" s="17"/>
      <c r="N712" s="52" t="s">
        <v>8758</v>
      </c>
      <c r="O712" s="17" t="s">
        <v>86</v>
      </c>
      <c r="P712" s="17" t="s">
        <v>86</v>
      </c>
      <c r="Q712" s="81" t="s">
        <v>8759</v>
      </c>
      <c r="R712" s="11">
        <v>30.995560999999999</v>
      </c>
      <c r="S712" s="11">
        <v>-87.129869999999997</v>
      </c>
      <c r="T712" s="11" t="s">
        <v>8760</v>
      </c>
      <c r="U712" s="11" t="s">
        <v>8761</v>
      </c>
      <c r="V712" s="17" t="s">
        <v>8762</v>
      </c>
      <c r="W712" s="17" t="s">
        <v>8763</v>
      </c>
      <c r="X712" s="70">
        <v>189</v>
      </c>
      <c r="Y712" s="70">
        <v>173</v>
      </c>
      <c r="Z712" s="13">
        <v>26862</v>
      </c>
      <c r="AA712" s="13">
        <v>26930</v>
      </c>
      <c r="AB712" s="13"/>
      <c r="AC712" s="13">
        <v>27124</v>
      </c>
      <c r="AD712" s="70">
        <v>15148</v>
      </c>
      <c r="AE712" s="86">
        <v>15251</v>
      </c>
      <c r="AF712" s="70" t="s">
        <v>135</v>
      </c>
      <c r="AG712" s="17" t="s">
        <v>8764</v>
      </c>
      <c r="AH712" s="17" t="s">
        <v>94</v>
      </c>
      <c r="AI712" s="70" t="s">
        <v>94</v>
      </c>
      <c r="AJ712" s="17" t="s">
        <v>94</v>
      </c>
      <c r="AK712" s="17" t="s">
        <v>95</v>
      </c>
      <c r="AL712" s="17" t="s">
        <v>94</v>
      </c>
      <c r="AM712" s="17" t="s">
        <v>94</v>
      </c>
      <c r="AN712" s="17" t="s">
        <v>94</v>
      </c>
      <c r="AO712" s="17" t="s">
        <v>98</v>
      </c>
      <c r="AP712" s="17" t="s">
        <v>98</v>
      </c>
      <c r="AQ712" s="17" t="s">
        <v>98</v>
      </c>
      <c r="AR712" s="17" t="s">
        <v>94</v>
      </c>
      <c r="AS712" s="17" t="s">
        <v>8765</v>
      </c>
      <c r="AT712" s="17"/>
      <c r="AU712" s="30" t="s">
        <v>8766</v>
      </c>
      <c r="AV712" s="14">
        <v>12125</v>
      </c>
      <c r="AW712" s="74"/>
      <c r="AX712" s="1"/>
      <c r="AY712" s="17" t="s">
        <v>101</v>
      </c>
    </row>
    <row r="713" spans="1:51" ht="12.75" customHeight="1" x14ac:dyDescent="0.25">
      <c r="A713" s="5">
        <v>683</v>
      </c>
      <c r="B713" s="9">
        <v>683</v>
      </c>
      <c r="C713" s="9" t="s">
        <v>8767</v>
      </c>
      <c r="D713" s="57" t="str">
        <f>HYPERLINK("http://prodenv.dep.state.fl.us/DepNexus/public/electronic-documents/OG_683/facility!search","OG_683_Docs")</f>
        <v>OG_683_Docs</v>
      </c>
      <c r="E713" s="57" t="str">
        <f>HYPERLINK("https://ca.dep.state.fl.us/mapdirect/?focus=oilandgas&amp;zoom=query&amp;querytype=oilandgas&amp;queryvalues=OG_683","OG_683_Map")</f>
        <v>OG_683_Map</v>
      </c>
      <c r="F713" s="1" t="s">
        <v>2222</v>
      </c>
      <c r="G713" s="1" t="s">
        <v>79</v>
      </c>
      <c r="H713" s="1" t="s">
        <v>8768</v>
      </c>
      <c r="I713" s="1" t="s">
        <v>8769</v>
      </c>
      <c r="J713" s="17" t="s">
        <v>82</v>
      </c>
      <c r="K713" s="17" t="s">
        <v>83</v>
      </c>
      <c r="L713" s="17"/>
      <c r="M713" s="17" t="s">
        <v>101</v>
      </c>
      <c r="N713" s="52" t="s">
        <v>6289</v>
      </c>
      <c r="O713" s="17" t="s">
        <v>86</v>
      </c>
      <c r="P713" s="17" t="s">
        <v>86</v>
      </c>
      <c r="Q713" s="81" t="s">
        <v>8770</v>
      </c>
      <c r="R713" s="11">
        <v>26.891075000000001</v>
      </c>
      <c r="S713" s="11">
        <v>-81.936413999999999</v>
      </c>
      <c r="T713" s="11" t="s">
        <v>8771</v>
      </c>
      <c r="U713" s="11" t="s">
        <v>8772</v>
      </c>
      <c r="V713" s="17" t="s">
        <v>941</v>
      </c>
      <c r="W713" s="17" t="s">
        <v>110</v>
      </c>
      <c r="X713" s="70">
        <v>42</v>
      </c>
      <c r="Y713" s="70">
        <v>28</v>
      </c>
      <c r="Z713" s="13">
        <v>26883</v>
      </c>
      <c r="AA713" s="13">
        <v>26943</v>
      </c>
      <c r="AB713" s="13">
        <v>26986</v>
      </c>
      <c r="AC713" s="13">
        <v>26986</v>
      </c>
      <c r="AD713" s="86">
        <v>11500</v>
      </c>
      <c r="AE713" s="86">
        <v>11500</v>
      </c>
      <c r="AF713" s="70" t="s">
        <v>5162</v>
      </c>
      <c r="AG713" s="17" t="s">
        <v>8773</v>
      </c>
      <c r="AH713" s="17" t="s">
        <v>8774</v>
      </c>
      <c r="AI713" s="70" t="s">
        <v>94</v>
      </c>
      <c r="AJ713" s="17" t="s">
        <v>94</v>
      </c>
      <c r="AK713" s="17" t="s">
        <v>95</v>
      </c>
      <c r="AL713" s="17" t="s">
        <v>8775</v>
      </c>
      <c r="AM713" s="17" t="s">
        <v>825</v>
      </c>
      <c r="AN713" s="17" t="s">
        <v>94</v>
      </c>
      <c r="AO713" s="17" t="s">
        <v>98</v>
      </c>
      <c r="AP713" s="17" t="s">
        <v>98</v>
      </c>
      <c r="AQ713" s="17" t="s">
        <v>98</v>
      </c>
      <c r="AR713" s="17" t="s">
        <v>94</v>
      </c>
      <c r="AS713" s="17" t="s">
        <v>8776</v>
      </c>
      <c r="AT713" s="17">
        <v>185</v>
      </c>
      <c r="AU713" s="30" t="s">
        <v>8777</v>
      </c>
      <c r="AV713" s="14">
        <v>12277</v>
      </c>
      <c r="AW713" s="74"/>
      <c r="AX713" s="1"/>
      <c r="AY713" s="17" t="s">
        <v>101</v>
      </c>
    </row>
    <row r="714" spans="1:51" ht="12.75" customHeight="1" x14ac:dyDescent="0.25">
      <c r="A714" s="5">
        <v>684</v>
      </c>
      <c r="B714" s="9">
        <v>684</v>
      </c>
      <c r="C714" s="9" t="s">
        <v>8778</v>
      </c>
      <c r="D714" s="57" t="str">
        <f>HYPERLINK("http://prodenv.dep.state.fl.us/DepNexus/public/electronic-documents/OG_684/facility!search","OG_684_Docs")</f>
        <v>OG_684_Docs</v>
      </c>
      <c r="E714" s="57" t="str">
        <f>HYPERLINK("https://ca.dep.state.fl.us/mapdirect/?focus=oilandgas&amp;zoom=query&amp;querytype=oilandgas&amp;queryvalues=OG_684","OG_684_Map")</f>
        <v>OG_684_Map</v>
      </c>
      <c r="F714" s="1" t="s">
        <v>2026</v>
      </c>
      <c r="G714" s="1" t="s">
        <v>79</v>
      </c>
      <c r="H714" s="1" t="s">
        <v>6141</v>
      </c>
      <c r="I714" s="1" t="s">
        <v>6317</v>
      </c>
      <c r="J714" s="17" t="s">
        <v>82</v>
      </c>
      <c r="K714" s="17" t="s">
        <v>83</v>
      </c>
      <c r="L714" s="17"/>
      <c r="M714" s="17" t="s">
        <v>101</v>
      </c>
      <c r="N714" s="52" t="s">
        <v>3956</v>
      </c>
      <c r="O714" s="17" t="s">
        <v>86</v>
      </c>
      <c r="P714" s="17" t="s">
        <v>86</v>
      </c>
      <c r="Q714" s="81" t="s">
        <v>8779</v>
      </c>
      <c r="R714" s="11">
        <v>26.566155999999999</v>
      </c>
      <c r="S714" s="11">
        <v>-81.681597999999994</v>
      </c>
      <c r="T714" s="11" t="s">
        <v>8780</v>
      </c>
      <c r="U714" s="11" t="s">
        <v>8781</v>
      </c>
      <c r="V714" s="17" t="s">
        <v>8782</v>
      </c>
      <c r="W714" s="17" t="s">
        <v>110</v>
      </c>
      <c r="X714" s="70">
        <v>44.2</v>
      </c>
      <c r="Y714" s="70">
        <v>29</v>
      </c>
      <c r="Z714" s="13">
        <v>26883</v>
      </c>
      <c r="AA714" s="13">
        <v>26923</v>
      </c>
      <c r="AB714" s="13"/>
      <c r="AC714" s="13">
        <v>26989</v>
      </c>
      <c r="AD714" s="86">
        <v>11740</v>
      </c>
      <c r="AE714" s="86">
        <v>11740</v>
      </c>
      <c r="AF714" s="70" t="s">
        <v>8783</v>
      </c>
      <c r="AG714" s="17" t="s">
        <v>8784</v>
      </c>
      <c r="AH714" s="17" t="s">
        <v>8785</v>
      </c>
      <c r="AI714" s="70" t="s">
        <v>94</v>
      </c>
      <c r="AJ714" s="17" t="s">
        <v>94</v>
      </c>
      <c r="AK714" s="17" t="s">
        <v>95</v>
      </c>
      <c r="AL714" s="17" t="s">
        <v>94</v>
      </c>
      <c r="AM714" s="17" t="s">
        <v>94</v>
      </c>
      <c r="AN714" s="17" t="s">
        <v>94</v>
      </c>
      <c r="AO714" s="17" t="s">
        <v>98</v>
      </c>
      <c r="AP714" s="17" t="s">
        <v>98</v>
      </c>
      <c r="AQ714" s="17" t="s">
        <v>98</v>
      </c>
      <c r="AR714" s="17" t="s">
        <v>94</v>
      </c>
      <c r="AS714" s="17" t="s">
        <v>8786</v>
      </c>
      <c r="AT714" s="17">
        <v>202</v>
      </c>
      <c r="AU714" s="30" t="s">
        <v>8787</v>
      </c>
      <c r="AV714" s="14">
        <v>12273</v>
      </c>
      <c r="AW714" s="74"/>
      <c r="AX714" s="1"/>
      <c r="AY714" s="17" t="s">
        <v>101</v>
      </c>
    </row>
    <row r="715" spans="1:51" ht="12.75" customHeight="1" x14ac:dyDescent="0.25">
      <c r="A715" s="5">
        <v>685</v>
      </c>
      <c r="B715" s="9">
        <v>685</v>
      </c>
      <c r="C715" s="9" t="s">
        <v>8788</v>
      </c>
      <c r="D715" s="57" t="str">
        <f>HYPERLINK("http://prodenv.dep.state.fl.us/DepNexus/public/electronic-documents/OG_685/facility!search","OG_685_Docs")</f>
        <v>OG_685_Docs</v>
      </c>
      <c r="E715" s="57" t="str">
        <f>HYPERLINK("https://ca.dep.state.fl.us/mapdirect/?focus=oilandgas&amp;zoom=query&amp;querytype=oilandgas&amp;queryvalues=OG_685","OG_685_Map")</f>
        <v>OG_685_Map</v>
      </c>
      <c r="F715" s="1" t="s">
        <v>2026</v>
      </c>
      <c r="G715" s="1" t="s">
        <v>79</v>
      </c>
      <c r="H715" s="1" t="s">
        <v>6141</v>
      </c>
      <c r="I715" s="1" t="s">
        <v>8789</v>
      </c>
      <c r="J715" s="17" t="s">
        <v>82</v>
      </c>
      <c r="K715" s="17" t="s">
        <v>83</v>
      </c>
      <c r="L715" s="17"/>
      <c r="M715" s="17" t="s">
        <v>101</v>
      </c>
      <c r="N715" s="52" t="s">
        <v>3956</v>
      </c>
      <c r="O715" s="17" t="s">
        <v>86</v>
      </c>
      <c r="P715" s="17" t="s">
        <v>86</v>
      </c>
      <c r="Q715" s="81" t="s">
        <v>8790</v>
      </c>
      <c r="R715" s="11">
        <v>26.535986999999999</v>
      </c>
      <c r="S715" s="11">
        <v>-81.826601999999994</v>
      </c>
      <c r="T715" s="11" t="s">
        <v>8791</v>
      </c>
      <c r="U715" s="11" t="s">
        <v>8792</v>
      </c>
      <c r="V715" s="17" t="s">
        <v>8793</v>
      </c>
      <c r="W715" s="17" t="s">
        <v>110</v>
      </c>
      <c r="X715" s="70">
        <v>33</v>
      </c>
      <c r="Y715" s="70">
        <v>16.5</v>
      </c>
      <c r="Z715" s="13">
        <v>26883</v>
      </c>
      <c r="AA715" s="13">
        <v>27055</v>
      </c>
      <c r="AB715" s="13"/>
      <c r="AC715" s="13">
        <v>27088</v>
      </c>
      <c r="AD715" s="86">
        <v>11810</v>
      </c>
      <c r="AE715" s="86">
        <v>11810</v>
      </c>
      <c r="AF715" s="70" t="s">
        <v>8794</v>
      </c>
      <c r="AG715" s="17" t="s">
        <v>8795</v>
      </c>
      <c r="AH715" s="17" t="s">
        <v>8796</v>
      </c>
      <c r="AI715" s="70" t="s">
        <v>94</v>
      </c>
      <c r="AJ715" s="17" t="s">
        <v>94</v>
      </c>
      <c r="AK715" s="17" t="s">
        <v>95</v>
      </c>
      <c r="AL715" s="17" t="s">
        <v>94</v>
      </c>
      <c r="AM715" s="17" t="s">
        <v>94</v>
      </c>
      <c r="AN715" s="17" t="s">
        <v>94</v>
      </c>
      <c r="AO715" s="17" t="s">
        <v>98</v>
      </c>
      <c r="AP715" s="17" t="s">
        <v>98</v>
      </c>
      <c r="AQ715" s="17" t="s">
        <v>98</v>
      </c>
      <c r="AR715" s="17" t="s">
        <v>94</v>
      </c>
      <c r="AS715" s="17" t="s">
        <v>8797</v>
      </c>
      <c r="AT715" s="17">
        <v>195</v>
      </c>
      <c r="AU715" s="30" t="s">
        <v>8798</v>
      </c>
      <c r="AV715" s="14">
        <v>12272</v>
      </c>
      <c r="AW715" s="74"/>
      <c r="AX715" s="1"/>
      <c r="AY715" s="17" t="s">
        <v>101</v>
      </c>
    </row>
    <row r="716" spans="1:51" ht="12.75" customHeight="1" x14ac:dyDescent="0.25">
      <c r="A716" s="5">
        <v>686</v>
      </c>
      <c r="B716" s="9">
        <v>686</v>
      </c>
      <c r="C716" s="9" t="s">
        <v>8799</v>
      </c>
      <c r="D716" s="57" t="str">
        <f>HYPERLINK("http://prodenv.dep.state.fl.us/DepNexus/public/electronic-documents/OG_686/facility!search","OG_686_Docs")</f>
        <v>OG_686_Docs</v>
      </c>
      <c r="E716" s="57" t="str">
        <f>HYPERLINK("https://ca.dep.state.fl.us/mapdirect/?focus=oilandgas&amp;zoom=query&amp;querytype=oilandgas&amp;queryvalues=OG_686","OG_686_Map")</f>
        <v>OG_686_Map</v>
      </c>
      <c r="F716" s="1" t="s">
        <v>1797</v>
      </c>
      <c r="G716" s="1" t="s">
        <v>6648</v>
      </c>
      <c r="H716" s="1" t="s">
        <v>6668</v>
      </c>
      <c r="I716" s="1" t="s">
        <v>8800</v>
      </c>
      <c r="J716" s="17" t="s">
        <v>5107</v>
      </c>
      <c r="K716" s="17" t="s">
        <v>6671</v>
      </c>
      <c r="L716" s="17"/>
      <c r="M716" s="17"/>
      <c r="N716" s="52" t="s">
        <v>7514</v>
      </c>
      <c r="O716" s="17" t="s">
        <v>86</v>
      </c>
      <c r="P716" s="17" t="s">
        <v>86</v>
      </c>
      <c r="Q716" s="81" t="s">
        <v>8801</v>
      </c>
      <c r="R716" s="11">
        <v>30.870125000000002</v>
      </c>
      <c r="S716" s="11">
        <v>-87.128290000000007</v>
      </c>
      <c r="T716" s="11" t="s">
        <v>8802</v>
      </c>
      <c r="U716" s="11" t="s">
        <v>8803</v>
      </c>
      <c r="V716" s="17" t="s">
        <v>8804</v>
      </c>
      <c r="W716" s="17" t="s">
        <v>8805</v>
      </c>
      <c r="X716" s="70">
        <v>141.80000000000001</v>
      </c>
      <c r="Y716" s="70">
        <v>122.2</v>
      </c>
      <c r="Z716" s="13">
        <v>26897</v>
      </c>
      <c r="AA716" s="13">
        <v>26904</v>
      </c>
      <c r="AB716" s="13">
        <v>27463</v>
      </c>
      <c r="AC716" s="13">
        <v>45529</v>
      </c>
      <c r="AD716" s="86">
        <v>16021</v>
      </c>
      <c r="AE716" s="86">
        <v>16025</v>
      </c>
      <c r="AF716" s="70" t="s">
        <v>6520</v>
      </c>
      <c r="AG716" s="17" t="s">
        <v>8806</v>
      </c>
      <c r="AH716" s="17" t="s">
        <v>94</v>
      </c>
      <c r="AI716" s="70" t="s">
        <v>8807</v>
      </c>
      <c r="AJ716" s="17" t="s">
        <v>8808</v>
      </c>
      <c r="AK716" s="17" t="s">
        <v>95</v>
      </c>
      <c r="AL716" s="17" t="s">
        <v>94</v>
      </c>
      <c r="AM716" s="17" t="s">
        <v>95</v>
      </c>
      <c r="AN716" s="17" t="s">
        <v>94</v>
      </c>
      <c r="AO716" s="17" t="s">
        <v>94</v>
      </c>
      <c r="AP716" s="17" t="s">
        <v>94</v>
      </c>
      <c r="AQ716" s="17" t="s">
        <v>94</v>
      </c>
      <c r="AR716" s="17" t="s">
        <v>8809</v>
      </c>
      <c r="AS716" s="17" t="s">
        <v>8810</v>
      </c>
      <c r="AT716" s="17"/>
      <c r="AU716" s="30" t="s">
        <v>8811</v>
      </c>
      <c r="AV716" s="14">
        <v>12091</v>
      </c>
      <c r="AW716" s="74">
        <v>303047</v>
      </c>
      <c r="AX716" s="1" t="s">
        <v>8812</v>
      </c>
      <c r="AY716" s="17" t="s">
        <v>101</v>
      </c>
    </row>
    <row r="717" spans="1:51" ht="12.75" customHeight="1" x14ac:dyDescent="0.25">
      <c r="A717" s="5">
        <v>687</v>
      </c>
      <c r="B717" s="9">
        <v>687</v>
      </c>
      <c r="C717" s="9" t="s">
        <v>8813</v>
      </c>
      <c r="D717" s="57" t="str">
        <f>HYPERLINK("http://prodenv.dep.state.fl.us/DepNexus/public/electronic-documents/OG_687/facility!search","OG_687_Docs")</f>
        <v>OG_687_Docs</v>
      </c>
      <c r="E717" s="57" t="str">
        <f>HYPERLINK("https://ca.dep.state.fl.us/mapdirect/?focus=oilandgas&amp;zoom=query&amp;querytype=oilandgas&amp;queryvalues=OG_687","OG_687_Map")</f>
        <v>OG_687_Map</v>
      </c>
      <c r="F717" s="1" t="s">
        <v>1797</v>
      </c>
      <c r="G717" s="1" t="s">
        <v>6648</v>
      </c>
      <c r="H717" s="1" t="s">
        <v>6668</v>
      </c>
      <c r="I717" s="1" t="s">
        <v>8814</v>
      </c>
      <c r="J717" s="17" t="s">
        <v>1476</v>
      </c>
      <c r="K717" s="17" t="s">
        <v>412</v>
      </c>
      <c r="L717" s="17"/>
      <c r="M717" s="17"/>
      <c r="N717" s="52" t="s">
        <v>8815</v>
      </c>
      <c r="O717" s="17" t="s">
        <v>86</v>
      </c>
      <c r="P717" s="17" t="s">
        <v>86</v>
      </c>
      <c r="Q717" s="81" t="s">
        <v>7998</v>
      </c>
      <c r="R717" s="11">
        <v>30.869160999999998</v>
      </c>
      <c r="S717" s="11">
        <v>-87.113606000000004</v>
      </c>
      <c r="T717" s="11" t="s">
        <v>8816</v>
      </c>
      <c r="U717" s="11" t="s">
        <v>8817</v>
      </c>
      <c r="V717" s="17" t="s">
        <v>8818</v>
      </c>
      <c r="W717" s="17" t="s">
        <v>110</v>
      </c>
      <c r="X717" s="70">
        <v>142</v>
      </c>
      <c r="Y717" s="70">
        <v>110.3</v>
      </c>
      <c r="Z717" s="13">
        <v>26897</v>
      </c>
      <c r="AA717" s="13">
        <v>26909</v>
      </c>
      <c r="AB717" s="13">
        <v>27416</v>
      </c>
      <c r="AC717" s="13">
        <v>45958</v>
      </c>
      <c r="AD717" s="86">
        <v>15948</v>
      </c>
      <c r="AE717" s="86">
        <v>15948</v>
      </c>
      <c r="AF717" s="70" t="s">
        <v>8819</v>
      </c>
      <c r="AG717" s="17" t="s">
        <v>8820</v>
      </c>
      <c r="AH717" s="17" t="s">
        <v>94</v>
      </c>
      <c r="AI717" s="70" t="s">
        <v>8821</v>
      </c>
      <c r="AJ717" s="17" t="s">
        <v>8822</v>
      </c>
      <c r="AK717" s="17" t="s">
        <v>95</v>
      </c>
      <c r="AL717" s="17" t="s">
        <v>94</v>
      </c>
      <c r="AM717" s="17" t="s">
        <v>95</v>
      </c>
      <c r="AN717" s="17" t="s">
        <v>94</v>
      </c>
      <c r="AO717" s="17" t="s">
        <v>8823</v>
      </c>
      <c r="AP717" s="17" t="s">
        <v>8824</v>
      </c>
      <c r="AQ717" s="17" t="s">
        <v>8825</v>
      </c>
      <c r="AR717" s="17" t="s">
        <v>8826</v>
      </c>
      <c r="AS717" s="17" t="s">
        <v>8827</v>
      </c>
      <c r="AT717" s="17"/>
      <c r="AU717" s="30" t="s">
        <v>8828</v>
      </c>
      <c r="AV717" s="14">
        <v>12090</v>
      </c>
      <c r="AW717" s="74">
        <v>303040</v>
      </c>
      <c r="AX717" s="1"/>
      <c r="AY717" s="17" t="s">
        <v>101</v>
      </c>
    </row>
    <row r="718" spans="1:51" ht="15" customHeight="1" x14ac:dyDescent="0.25">
      <c r="A718" s="5">
        <v>688</v>
      </c>
      <c r="B718" s="9">
        <v>688</v>
      </c>
      <c r="C718" s="9" t="s">
        <v>8829</v>
      </c>
      <c r="D718" s="57" t="str">
        <f>HYPERLINK("http://prodenv.dep.state.fl.us/DepNexus/public/electronic-documents/OG_688/facility!search","OG_688_Docs")</f>
        <v>OG_688_Docs</v>
      </c>
      <c r="E718" s="57" t="str">
        <f>HYPERLINK("https://ca.dep.state.fl.us/mapdirect/?focus=oilandgas&amp;zoom=query&amp;querytype=oilandgas&amp;queryvalues=OG_688","OG_688_Map")</f>
        <v>OG_688_Map</v>
      </c>
      <c r="F718" s="1" t="s">
        <v>1797</v>
      </c>
      <c r="G718" s="1" t="s">
        <v>5133</v>
      </c>
      <c r="H718" s="1" t="s">
        <v>1363</v>
      </c>
      <c r="I718" s="1" t="s">
        <v>8830</v>
      </c>
      <c r="J718" s="17" t="s">
        <v>5135</v>
      </c>
      <c r="K718" s="17" t="s">
        <v>412</v>
      </c>
      <c r="L718" s="17"/>
      <c r="M718" s="17"/>
      <c r="N718" s="52" t="s">
        <v>6046</v>
      </c>
      <c r="O718" s="17" t="s">
        <v>86</v>
      </c>
      <c r="P718" s="17" t="s">
        <v>86</v>
      </c>
      <c r="Q718" s="81" t="s">
        <v>1829</v>
      </c>
      <c r="R718" s="11">
        <v>30.929061999999998</v>
      </c>
      <c r="S718" s="11">
        <v>-87.128725000000003</v>
      </c>
      <c r="T718" s="11" t="s">
        <v>8831</v>
      </c>
      <c r="U718" s="11" t="s">
        <v>8832</v>
      </c>
      <c r="V718" s="17" t="s">
        <v>8833</v>
      </c>
      <c r="W718" s="17" t="s">
        <v>110</v>
      </c>
      <c r="X718" s="70">
        <v>258.2</v>
      </c>
      <c r="Y718" s="70">
        <v>234.5</v>
      </c>
      <c r="Z718" s="13">
        <v>26897</v>
      </c>
      <c r="AA718" s="13">
        <v>26927</v>
      </c>
      <c r="AB718" s="13">
        <v>27002</v>
      </c>
      <c r="AC718" s="13"/>
      <c r="AD718" s="86">
        <v>15940</v>
      </c>
      <c r="AE718" s="86">
        <v>15940</v>
      </c>
      <c r="AF718" s="70" t="s">
        <v>6520</v>
      </c>
      <c r="AG718" s="17" t="s">
        <v>8834</v>
      </c>
      <c r="AH718" s="17" t="s">
        <v>94</v>
      </c>
      <c r="AI718" s="70" t="s">
        <v>8835</v>
      </c>
      <c r="AJ718" s="17" t="s">
        <v>8836</v>
      </c>
      <c r="AK718" s="17" t="s">
        <v>94</v>
      </c>
      <c r="AL718" s="17" t="s">
        <v>8837</v>
      </c>
      <c r="AM718" s="17" t="s">
        <v>95</v>
      </c>
      <c r="AN718" s="17" t="s">
        <v>94</v>
      </c>
      <c r="AO718" s="17" t="s">
        <v>8838</v>
      </c>
      <c r="AP718" s="17" t="s">
        <v>8839</v>
      </c>
      <c r="AQ718" s="17" t="s">
        <v>5243</v>
      </c>
      <c r="AR718" s="17" t="s">
        <v>8840</v>
      </c>
      <c r="AS718" s="17"/>
      <c r="AT718" s="17"/>
      <c r="AU718" s="30" t="s">
        <v>8841</v>
      </c>
      <c r="AV718" s="14">
        <v>12094</v>
      </c>
      <c r="AW718" s="74">
        <v>311600</v>
      </c>
      <c r="AX718" s="1" t="s">
        <v>8842</v>
      </c>
      <c r="AY718" s="17" t="s">
        <v>101</v>
      </c>
    </row>
    <row r="719" spans="1:51" ht="15" customHeight="1" x14ac:dyDescent="0.25">
      <c r="A719" s="5">
        <v>689</v>
      </c>
      <c r="B719" s="9">
        <v>689</v>
      </c>
      <c r="C719" s="9" t="s">
        <v>8843</v>
      </c>
      <c r="D719" s="57" t="str">
        <f>HYPERLINK("http://prodenv.dep.state.fl.us/DepNexus/public/electronic-documents/OG_689/facility!search","OG_689_Docs")</f>
        <v>OG_689_Docs</v>
      </c>
      <c r="E719" s="57" t="str">
        <f>HYPERLINK("https://ca.dep.state.fl.us/mapdirect/?focus=oilandgas&amp;zoom=query&amp;querytype=oilandgas&amp;queryvalues=OG_689","OG_689_Map")</f>
        <v>OG_689_Map</v>
      </c>
      <c r="F719" s="1" t="s">
        <v>1797</v>
      </c>
      <c r="G719" s="1" t="s">
        <v>1798</v>
      </c>
      <c r="H719" s="1" t="s">
        <v>5605</v>
      </c>
      <c r="I719" s="1" t="s">
        <v>8844</v>
      </c>
      <c r="J719" s="17" t="s">
        <v>207</v>
      </c>
      <c r="K719" s="17" t="s">
        <v>208</v>
      </c>
      <c r="L719" s="17"/>
      <c r="M719" s="17" t="s">
        <v>207</v>
      </c>
      <c r="N719" s="52" t="s">
        <v>86</v>
      </c>
      <c r="O719" s="17" t="s">
        <v>86</v>
      </c>
      <c r="P719" s="17" t="s">
        <v>86</v>
      </c>
      <c r="Q719" s="81" t="s">
        <v>8845</v>
      </c>
      <c r="R719" s="11">
        <v>30.983461999999999</v>
      </c>
      <c r="S719" s="11">
        <v>-87.131799999999998</v>
      </c>
      <c r="T719" s="11" t="s">
        <v>8846</v>
      </c>
      <c r="U719" s="11" t="s">
        <v>8847</v>
      </c>
      <c r="V719" s="17" t="s">
        <v>8848</v>
      </c>
      <c r="W719" s="17" t="s">
        <v>110</v>
      </c>
      <c r="X719" s="70"/>
      <c r="Y719" s="70"/>
      <c r="Z719" s="13">
        <v>26897</v>
      </c>
      <c r="AA719" s="13"/>
      <c r="AB719" s="13"/>
      <c r="AC719" s="13"/>
      <c r="AD719" s="86"/>
      <c r="AE719" s="86"/>
      <c r="AF719" s="70" t="s">
        <v>207</v>
      </c>
      <c r="AG719" s="17" t="s">
        <v>207</v>
      </c>
      <c r="AH719" s="17" t="s">
        <v>207</v>
      </c>
      <c r="AI719" s="70" t="s">
        <v>207</v>
      </c>
      <c r="AJ719" s="17" t="s">
        <v>207</v>
      </c>
      <c r="AK719" s="17" t="s">
        <v>207</v>
      </c>
      <c r="AL719" s="17" t="s">
        <v>207</v>
      </c>
      <c r="AM719" s="17" t="s">
        <v>207</v>
      </c>
      <c r="AN719" s="17" t="s">
        <v>207</v>
      </c>
      <c r="AO719" s="17" t="s">
        <v>207</v>
      </c>
      <c r="AP719" s="17" t="s">
        <v>207</v>
      </c>
      <c r="AQ719" s="17" t="s">
        <v>207</v>
      </c>
      <c r="AR719" s="17" t="s">
        <v>207</v>
      </c>
      <c r="AS719" s="17" t="s">
        <v>207</v>
      </c>
      <c r="AT719" s="17" t="s">
        <v>207</v>
      </c>
      <c r="AU719" s="30" t="s">
        <v>8849</v>
      </c>
      <c r="AV719" s="14" t="s">
        <v>207</v>
      </c>
      <c r="AW719" s="74"/>
      <c r="AX719" s="1"/>
      <c r="AY719" s="17" t="s">
        <v>101</v>
      </c>
    </row>
    <row r="720" spans="1:51" ht="15" customHeight="1" x14ac:dyDescent="0.25">
      <c r="A720" s="5">
        <v>690</v>
      </c>
      <c r="B720" s="9">
        <v>690</v>
      </c>
      <c r="C720" s="9" t="s">
        <v>8850</v>
      </c>
      <c r="D720" s="57" t="str">
        <f>HYPERLINK("http://prodenv.dep.state.fl.us/DepNexus/public/electronic-documents/OG_690/facility!search","OG_690_Docs")</f>
        <v>OG_690_Docs</v>
      </c>
      <c r="E720" s="57" t="str">
        <f>HYPERLINK("https://ca.dep.state.fl.us/mapdirect/?focus=oilandgas&amp;zoom=query&amp;querytype=oilandgas&amp;queryvalues=OG_690","OG_690_Map")</f>
        <v>OG_690_Map</v>
      </c>
      <c r="F720" s="1" t="s">
        <v>151</v>
      </c>
      <c r="G720" s="1" t="s">
        <v>79</v>
      </c>
      <c r="H720" s="1" t="s">
        <v>8851</v>
      </c>
      <c r="I720" s="1" t="s">
        <v>451</v>
      </c>
      <c r="J720" s="17" t="s">
        <v>82</v>
      </c>
      <c r="K720" s="17" t="s">
        <v>83</v>
      </c>
      <c r="L720" s="17"/>
      <c r="M720" s="17" t="s">
        <v>101</v>
      </c>
      <c r="N720" s="52" t="s">
        <v>8852</v>
      </c>
      <c r="O720" s="17" t="s">
        <v>86</v>
      </c>
      <c r="P720" s="17" t="s">
        <v>86</v>
      </c>
      <c r="Q720" s="81" t="s">
        <v>8853</v>
      </c>
      <c r="R720" s="11">
        <v>30.371468</v>
      </c>
      <c r="S720" s="11">
        <v>-85.938317999999995</v>
      </c>
      <c r="T720" s="11" t="s">
        <v>8854</v>
      </c>
      <c r="U720" s="11" t="s">
        <v>8855</v>
      </c>
      <c r="V720" s="17" t="s">
        <v>8856</v>
      </c>
      <c r="W720" s="17" t="s">
        <v>110</v>
      </c>
      <c r="X720" s="70">
        <v>67</v>
      </c>
      <c r="Y720" s="70">
        <v>43</v>
      </c>
      <c r="Z720" s="13">
        <v>26897</v>
      </c>
      <c r="AA720" s="13">
        <v>26915</v>
      </c>
      <c r="AB720" s="13">
        <v>26958</v>
      </c>
      <c r="AC720" s="13">
        <v>26958</v>
      </c>
      <c r="AD720" s="86">
        <v>12313</v>
      </c>
      <c r="AE720" s="86">
        <v>12313</v>
      </c>
      <c r="AF720" s="70" t="s">
        <v>7917</v>
      </c>
      <c r="AG720" s="17" t="s">
        <v>7562</v>
      </c>
      <c r="AH720" s="17" t="s">
        <v>94</v>
      </c>
      <c r="AI720" s="70" t="s">
        <v>94</v>
      </c>
      <c r="AJ720" s="17" t="s">
        <v>94</v>
      </c>
      <c r="AK720" s="17" t="s">
        <v>95</v>
      </c>
      <c r="AL720" s="17" t="s">
        <v>94</v>
      </c>
      <c r="AM720" s="17" t="s">
        <v>94</v>
      </c>
      <c r="AN720" s="17" t="s">
        <v>94</v>
      </c>
      <c r="AO720" s="17" t="s">
        <v>98</v>
      </c>
      <c r="AP720" s="17" t="s">
        <v>98</v>
      </c>
      <c r="AQ720" s="17" t="s">
        <v>98</v>
      </c>
      <c r="AR720" s="17" t="s">
        <v>94</v>
      </c>
      <c r="AS720" s="17" t="s">
        <v>8857</v>
      </c>
      <c r="AT720" s="17">
        <v>217</v>
      </c>
      <c r="AU720" s="30" t="s">
        <v>8858</v>
      </c>
      <c r="AV720" s="14">
        <v>12498</v>
      </c>
      <c r="AW720" s="74"/>
      <c r="AX720" s="1"/>
      <c r="AY720" s="17" t="s">
        <v>101</v>
      </c>
    </row>
    <row r="721" spans="1:51" ht="12.75" customHeight="1" x14ac:dyDescent="0.25">
      <c r="A721" s="5">
        <v>691</v>
      </c>
      <c r="B721" s="9">
        <v>691</v>
      </c>
      <c r="C721" s="9" t="s">
        <v>8859</v>
      </c>
      <c r="D721" s="57" t="str">
        <f>HYPERLINK("http://prodenv.dep.state.fl.us/DepNexus/public/electronic-documents/OG_691/facility!search","OG_691_Docs")</f>
        <v>OG_691_Docs</v>
      </c>
      <c r="E721" s="57" t="str">
        <f>HYPERLINK("https://ca.dep.state.fl.us/mapdirect/?focus=oilandgas&amp;zoom=query&amp;querytype=oilandgas&amp;queryvalues=OG_691","OG_691_Map")</f>
        <v>OG_691_Map</v>
      </c>
      <c r="F721" s="1" t="s">
        <v>151</v>
      </c>
      <c r="G721" s="1" t="s">
        <v>79</v>
      </c>
      <c r="H721" s="1" t="s">
        <v>8851</v>
      </c>
      <c r="I721" s="1" t="s">
        <v>572</v>
      </c>
      <c r="J721" s="17" t="s">
        <v>207</v>
      </c>
      <c r="K721" s="17" t="s">
        <v>208</v>
      </c>
      <c r="L721" s="17"/>
      <c r="M721" s="17" t="s">
        <v>207</v>
      </c>
      <c r="N721" s="52" t="s">
        <v>86</v>
      </c>
      <c r="O721" s="17" t="s">
        <v>86</v>
      </c>
      <c r="P721" s="17" t="s">
        <v>86</v>
      </c>
      <c r="Q721" s="81" t="s">
        <v>8860</v>
      </c>
      <c r="R721" s="11">
        <v>30.348465999999998</v>
      </c>
      <c r="S721" s="11">
        <v>-85.880505999999997</v>
      </c>
      <c r="T721" s="11" t="s">
        <v>8861</v>
      </c>
      <c r="U721" s="11" t="s">
        <v>8862</v>
      </c>
      <c r="V721" s="17" t="s">
        <v>8863</v>
      </c>
      <c r="W721" s="17" t="s">
        <v>110</v>
      </c>
      <c r="X721" s="70"/>
      <c r="Y721" s="70"/>
      <c r="Z721" s="13">
        <v>26897</v>
      </c>
      <c r="AA721" s="13"/>
      <c r="AB721" s="13"/>
      <c r="AC721" s="13"/>
      <c r="AD721" s="86"/>
      <c r="AE721" s="70"/>
      <c r="AF721" s="70" t="s">
        <v>207</v>
      </c>
      <c r="AG721" s="14" t="s">
        <v>207</v>
      </c>
      <c r="AH721" s="14" t="s">
        <v>207</v>
      </c>
      <c r="AI721" s="70" t="s">
        <v>207</v>
      </c>
      <c r="AJ721" s="14" t="s">
        <v>207</v>
      </c>
      <c r="AK721" s="14" t="s">
        <v>207</v>
      </c>
      <c r="AL721" s="14" t="s">
        <v>207</v>
      </c>
      <c r="AM721" s="14" t="s">
        <v>207</v>
      </c>
      <c r="AN721" s="14" t="s">
        <v>207</v>
      </c>
      <c r="AO721" s="14" t="s">
        <v>207</v>
      </c>
      <c r="AP721" s="14" t="s">
        <v>207</v>
      </c>
      <c r="AQ721" s="14" t="s">
        <v>207</v>
      </c>
      <c r="AR721" s="14" t="s">
        <v>207</v>
      </c>
      <c r="AS721" s="14" t="s">
        <v>207</v>
      </c>
      <c r="AT721" s="14" t="s">
        <v>207</v>
      </c>
      <c r="AU721" s="30" t="s">
        <v>8864</v>
      </c>
      <c r="AV721" s="14" t="s">
        <v>207</v>
      </c>
      <c r="AW721" s="74"/>
      <c r="AX721" s="1"/>
      <c r="AY721" s="17" t="s">
        <v>101</v>
      </c>
    </row>
    <row r="722" spans="1:51" ht="12.75" customHeight="1" x14ac:dyDescent="0.25">
      <c r="A722" s="5">
        <v>692</v>
      </c>
      <c r="B722" s="9">
        <v>692</v>
      </c>
      <c r="C722" s="9" t="s">
        <v>8865</v>
      </c>
      <c r="D722" s="57" t="str">
        <f>HYPERLINK("http://prodenv.dep.state.fl.us/DepNexus/public/electronic-documents/OG_692/facility!search","OG_692_Docs")</f>
        <v>OG_692_Docs</v>
      </c>
      <c r="E722" s="57" t="str">
        <f>HYPERLINK("https://ca.dep.state.fl.us/mapdirect/?focus=oilandgas&amp;zoom=query&amp;querytype=oilandgas&amp;queryvalues=OG_692","OG_692_Map")</f>
        <v>OG_692_Map</v>
      </c>
      <c r="F722" s="1" t="s">
        <v>1797</v>
      </c>
      <c r="G722" s="1" t="s">
        <v>79</v>
      </c>
      <c r="H722" s="1" t="s">
        <v>8866</v>
      </c>
      <c r="I722" s="1" t="s">
        <v>8867</v>
      </c>
      <c r="J722" s="17" t="s">
        <v>82</v>
      </c>
      <c r="K722" s="17" t="s">
        <v>83</v>
      </c>
      <c r="L722" s="17"/>
      <c r="M722" s="17" t="s">
        <v>84</v>
      </c>
      <c r="N722" s="52" t="s">
        <v>8868</v>
      </c>
      <c r="O722" s="17" t="s">
        <v>86</v>
      </c>
      <c r="P722" s="17" t="s">
        <v>86</v>
      </c>
      <c r="Q722" s="81" t="s">
        <v>8869</v>
      </c>
      <c r="R722" s="11">
        <v>30.661747999999999</v>
      </c>
      <c r="S722" s="11">
        <v>-87.014661000000004</v>
      </c>
      <c r="T722" s="11" t="s">
        <v>8870</v>
      </c>
      <c r="U722" s="11" t="s">
        <v>8871</v>
      </c>
      <c r="V722" s="17" t="s">
        <v>8872</v>
      </c>
      <c r="W722" s="17" t="s">
        <v>110</v>
      </c>
      <c r="X722" s="70">
        <v>48.9</v>
      </c>
      <c r="Y722" s="70">
        <v>25.4</v>
      </c>
      <c r="Z722" s="13">
        <v>26897</v>
      </c>
      <c r="AA722" s="13">
        <v>26922</v>
      </c>
      <c r="AB722" s="13"/>
      <c r="AC722" s="13">
        <v>27089</v>
      </c>
      <c r="AD722" s="86">
        <v>16967</v>
      </c>
      <c r="AE722" s="86">
        <v>16967</v>
      </c>
      <c r="AF722" s="70" t="s">
        <v>94</v>
      </c>
      <c r="AG722" s="17" t="s">
        <v>6052</v>
      </c>
      <c r="AH722" s="17" t="s">
        <v>94</v>
      </c>
      <c r="AI722" s="70" t="s">
        <v>94</v>
      </c>
      <c r="AJ722" s="17" t="s">
        <v>94</v>
      </c>
      <c r="AK722" s="17" t="s">
        <v>95</v>
      </c>
      <c r="AL722" s="17" t="s">
        <v>94</v>
      </c>
      <c r="AM722" s="17" t="s">
        <v>94</v>
      </c>
      <c r="AN722" s="17" t="s">
        <v>94</v>
      </c>
      <c r="AO722" s="17" t="s">
        <v>98</v>
      </c>
      <c r="AP722" s="17" t="s">
        <v>98</v>
      </c>
      <c r="AQ722" s="17" t="s">
        <v>98</v>
      </c>
      <c r="AR722" s="17" t="s">
        <v>94</v>
      </c>
      <c r="AS722" s="17" t="s">
        <v>8873</v>
      </c>
      <c r="AT722" s="17">
        <v>266</v>
      </c>
      <c r="AU722" s="30" t="s">
        <v>8874</v>
      </c>
      <c r="AV722" s="14">
        <v>12019</v>
      </c>
      <c r="AW722" s="74"/>
      <c r="AX722" s="1"/>
      <c r="AY722" s="17" t="s">
        <v>101</v>
      </c>
    </row>
    <row r="723" spans="1:51" ht="12.75" customHeight="1" x14ac:dyDescent="0.25">
      <c r="A723" s="5">
        <v>693</v>
      </c>
      <c r="B723" s="9">
        <v>693</v>
      </c>
      <c r="C723" s="9" t="s">
        <v>8875</v>
      </c>
      <c r="D723" s="57" t="str">
        <f>HYPERLINK("http://prodenv.dep.state.fl.us/DepNexus/public/electronic-documents/OG_693/facility!search","OG_693_Docs")</f>
        <v>OG_693_Docs</v>
      </c>
      <c r="E723" s="57" t="str">
        <f>HYPERLINK("https://ca.dep.state.fl.us/mapdirect/?focus=oilandgas&amp;zoom=query&amp;querytype=oilandgas&amp;queryvalues=OG_693","OG_693_Map")</f>
        <v>OG_693_Map</v>
      </c>
      <c r="F723" s="1" t="s">
        <v>1797</v>
      </c>
      <c r="G723" s="1" t="s">
        <v>6648</v>
      </c>
      <c r="H723" s="1" t="s">
        <v>6668</v>
      </c>
      <c r="I723" s="1" t="s">
        <v>8876</v>
      </c>
      <c r="J723" s="17" t="s">
        <v>6670</v>
      </c>
      <c r="K723" s="17" t="s">
        <v>412</v>
      </c>
      <c r="L723" s="17"/>
      <c r="M723" s="17"/>
      <c r="N723" s="52" t="s">
        <v>6529</v>
      </c>
      <c r="O723" s="17" t="s">
        <v>86</v>
      </c>
      <c r="P723" s="17" t="s">
        <v>86</v>
      </c>
      <c r="Q723" s="81" t="s">
        <v>3194</v>
      </c>
      <c r="R723" s="11">
        <v>30.848734</v>
      </c>
      <c r="S723" s="11">
        <v>-87.120375999999993</v>
      </c>
      <c r="T723" s="11" t="s">
        <v>8877</v>
      </c>
      <c r="U723" s="11" t="s">
        <v>8878</v>
      </c>
      <c r="V723" s="17" t="s">
        <v>8879</v>
      </c>
      <c r="W723" s="17" t="s">
        <v>110</v>
      </c>
      <c r="X723" s="70">
        <v>207</v>
      </c>
      <c r="Y723" s="70">
        <v>180</v>
      </c>
      <c r="Z723" s="13">
        <v>26911</v>
      </c>
      <c r="AA723" s="13">
        <v>26938</v>
      </c>
      <c r="AB723" s="13"/>
      <c r="AC723" s="13">
        <v>45454</v>
      </c>
      <c r="AD723" s="86">
        <v>16065</v>
      </c>
      <c r="AE723" s="86">
        <v>16065</v>
      </c>
      <c r="AF723" s="70" t="s">
        <v>8880</v>
      </c>
      <c r="AG723" s="17" t="s">
        <v>8881</v>
      </c>
      <c r="AH723" s="17" t="s">
        <v>94</v>
      </c>
      <c r="AI723" s="70" t="s">
        <v>8882</v>
      </c>
      <c r="AJ723" s="17" t="s">
        <v>8883</v>
      </c>
      <c r="AK723" s="17" t="s">
        <v>95</v>
      </c>
      <c r="AL723" s="17" t="s">
        <v>94</v>
      </c>
      <c r="AM723" s="17" t="s">
        <v>95</v>
      </c>
      <c r="AN723" s="17" t="s">
        <v>94</v>
      </c>
      <c r="AO723" s="17" t="s">
        <v>8884</v>
      </c>
      <c r="AP723" s="17" t="s">
        <v>8885</v>
      </c>
      <c r="AQ723" s="17" t="s">
        <v>8886</v>
      </c>
      <c r="AR723" s="17" t="s">
        <v>8887</v>
      </c>
      <c r="AS723" s="17" t="s">
        <v>8888</v>
      </c>
      <c r="AT723" s="17"/>
      <c r="AU723" s="30" t="s">
        <v>8889</v>
      </c>
      <c r="AV723" s="14">
        <v>12093</v>
      </c>
      <c r="AW723" s="74">
        <v>302531</v>
      </c>
      <c r="AX723" s="1" t="s">
        <v>8890</v>
      </c>
      <c r="AY723" s="17" t="s">
        <v>101</v>
      </c>
    </row>
    <row r="724" spans="1:51" ht="12.75" customHeight="1" x14ac:dyDescent="0.25">
      <c r="A724" s="5">
        <v>694</v>
      </c>
      <c r="B724" s="9">
        <v>694</v>
      </c>
      <c r="C724" s="9" t="s">
        <v>8891</v>
      </c>
      <c r="D724" s="57" t="str">
        <f>HYPERLINK("http://prodenv.dep.state.fl.us/DepNexus/public/electronic-documents/OG_694/facility!search","OG_694_Docs")</f>
        <v>OG_694_Docs</v>
      </c>
      <c r="E724" s="57" t="str">
        <f>HYPERLINK("https://ca.dep.state.fl.us/mapdirect/?focus=oilandgas&amp;zoom=query&amp;querytype=oilandgas&amp;queryvalues=OG_694","OG_694_Map")</f>
        <v>OG_694_Map</v>
      </c>
      <c r="F724" s="1" t="s">
        <v>1682</v>
      </c>
      <c r="G724" s="1" t="s">
        <v>79</v>
      </c>
      <c r="H724" s="1" t="s">
        <v>8892</v>
      </c>
      <c r="I724" s="1" t="s">
        <v>8893</v>
      </c>
      <c r="J724" s="17" t="s">
        <v>207</v>
      </c>
      <c r="K724" s="17" t="s">
        <v>208</v>
      </c>
      <c r="L724" s="17"/>
      <c r="M724" s="17" t="s">
        <v>207</v>
      </c>
      <c r="N724" s="52" t="s">
        <v>86</v>
      </c>
      <c r="O724" s="17" t="s">
        <v>86</v>
      </c>
      <c r="P724" s="17" t="s">
        <v>86</v>
      </c>
      <c r="Q724" s="81" t="s">
        <v>8894</v>
      </c>
      <c r="R724" s="11">
        <v>30.94491</v>
      </c>
      <c r="S724" s="11">
        <v>-87.314854999999994</v>
      </c>
      <c r="T724" s="11" t="s">
        <v>8895</v>
      </c>
      <c r="U724" s="11" t="s">
        <v>8896</v>
      </c>
      <c r="V724" s="17" t="s">
        <v>8897</v>
      </c>
      <c r="W724" s="17" t="s">
        <v>110</v>
      </c>
      <c r="X724" s="70"/>
      <c r="Y724" s="70"/>
      <c r="Z724" s="13">
        <v>26911</v>
      </c>
      <c r="AA724" s="13"/>
      <c r="AB724" s="13"/>
      <c r="AC724" s="13"/>
      <c r="AD724" s="86"/>
      <c r="AE724" s="70"/>
      <c r="AF724" s="70" t="s">
        <v>207</v>
      </c>
      <c r="AG724" s="14" t="s">
        <v>207</v>
      </c>
      <c r="AH724" s="14" t="s">
        <v>207</v>
      </c>
      <c r="AI724" s="70" t="s">
        <v>207</v>
      </c>
      <c r="AJ724" s="14" t="s">
        <v>207</v>
      </c>
      <c r="AK724" s="14" t="s">
        <v>207</v>
      </c>
      <c r="AL724" s="14" t="s">
        <v>207</v>
      </c>
      <c r="AM724" s="14" t="s">
        <v>207</v>
      </c>
      <c r="AN724" s="14" t="s">
        <v>207</v>
      </c>
      <c r="AO724" s="14" t="s">
        <v>207</v>
      </c>
      <c r="AP724" s="14" t="s">
        <v>207</v>
      </c>
      <c r="AQ724" s="14" t="s">
        <v>207</v>
      </c>
      <c r="AR724" s="14" t="s">
        <v>207</v>
      </c>
      <c r="AS724" s="14" t="s">
        <v>207</v>
      </c>
      <c r="AT724" s="14" t="s">
        <v>207</v>
      </c>
      <c r="AU724" s="30" t="s">
        <v>8898</v>
      </c>
      <c r="AV724" s="14" t="s">
        <v>207</v>
      </c>
      <c r="AW724" s="74"/>
      <c r="AX724" s="1"/>
      <c r="AY724" s="17" t="s">
        <v>101</v>
      </c>
    </row>
    <row r="725" spans="1:51" ht="15" customHeight="1" x14ac:dyDescent="0.25">
      <c r="A725" s="5">
        <v>695</v>
      </c>
      <c r="B725" s="9">
        <v>695</v>
      </c>
      <c r="C725" s="9" t="s">
        <v>8899</v>
      </c>
      <c r="D725" s="57" t="str">
        <f>HYPERLINK("http://prodenv.dep.state.fl.us/DepNexus/public/electronic-documents/OG_695/facility!search","OG_695_Docs")</f>
        <v>OG_695_Docs</v>
      </c>
      <c r="E725" s="57" t="str">
        <f>HYPERLINK("https://ca.dep.state.fl.us/mapdirect/?focus=oilandgas&amp;zoom=query&amp;querytype=oilandgas&amp;queryvalues=OG_695","OG_695_Map")</f>
        <v>OG_695_Map</v>
      </c>
      <c r="F725" s="1" t="s">
        <v>1797</v>
      </c>
      <c r="G725" s="1" t="s">
        <v>5133</v>
      </c>
      <c r="H725" s="1" t="s">
        <v>8900</v>
      </c>
      <c r="I725" s="1" t="s">
        <v>8901</v>
      </c>
      <c r="J725" s="17" t="s">
        <v>82</v>
      </c>
      <c r="K725" s="17" t="s">
        <v>82</v>
      </c>
      <c r="L725" s="17"/>
      <c r="M725" s="17"/>
      <c r="N725" s="52" t="s">
        <v>4735</v>
      </c>
      <c r="O725" s="17" t="s">
        <v>86</v>
      </c>
      <c r="P725" s="17" t="s">
        <v>86</v>
      </c>
      <c r="Q725" s="81" t="s">
        <v>8902</v>
      </c>
      <c r="R725" s="11">
        <v>30.976495</v>
      </c>
      <c r="S725" s="11">
        <v>-87.144479000000004</v>
      </c>
      <c r="T725" s="11" t="s">
        <v>8903</v>
      </c>
      <c r="U725" s="11" t="s">
        <v>8904</v>
      </c>
      <c r="V725" s="17" t="s">
        <v>212</v>
      </c>
      <c r="W725" s="17" t="s">
        <v>212</v>
      </c>
      <c r="X725" s="70">
        <v>266.02999999999997</v>
      </c>
      <c r="Y725" s="70">
        <v>249.13</v>
      </c>
      <c r="Z725" s="13">
        <v>26911</v>
      </c>
      <c r="AA725" s="13">
        <v>26912</v>
      </c>
      <c r="AB725" s="13"/>
      <c r="AC725" s="13">
        <v>27014</v>
      </c>
      <c r="AD725" s="86">
        <v>16289</v>
      </c>
      <c r="AE725" s="86">
        <v>16289</v>
      </c>
      <c r="AF725" s="70" t="s">
        <v>1746</v>
      </c>
      <c r="AG725" s="17" t="s">
        <v>8905</v>
      </c>
      <c r="AH725" s="17" t="s">
        <v>94</v>
      </c>
      <c r="AI725" s="70" t="s">
        <v>94</v>
      </c>
      <c r="AJ725" s="17" t="s">
        <v>94</v>
      </c>
      <c r="AK725" s="17" t="s">
        <v>94</v>
      </c>
      <c r="AL725" s="17" t="s">
        <v>94</v>
      </c>
      <c r="AM725" s="17" t="s">
        <v>94</v>
      </c>
      <c r="AN725" s="17" t="s">
        <v>94</v>
      </c>
      <c r="AO725" s="17" t="s">
        <v>98</v>
      </c>
      <c r="AP725" s="17" t="s">
        <v>98</v>
      </c>
      <c r="AQ725" s="17" t="s">
        <v>98</v>
      </c>
      <c r="AR725" s="17" t="s">
        <v>94</v>
      </c>
      <c r="AS725" s="17" t="s">
        <v>8906</v>
      </c>
      <c r="AT725" s="17"/>
      <c r="AU725" s="30" t="s">
        <v>8907</v>
      </c>
      <c r="AV725" s="14" t="s">
        <v>94</v>
      </c>
      <c r="AW725" s="74"/>
      <c r="AX725" s="1"/>
      <c r="AY725" s="17" t="s">
        <v>101</v>
      </c>
    </row>
    <row r="726" spans="1:51" ht="12.75" customHeight="1" x14ac:dyDescent="0.25">
      <c r="A726" s="5">
        <v>696</v>
      </c>
      <c r="B726" s="9">
        <v>696</v>
      </c>
      <c r="C726" s="9" t="s">
        <v>8908</v>
      </c>
      <c r="D726" s="57" t="str">
        <f>HYPERLINK("http://prodenv.dep.state.fl.us/DepNexus/public/electronic-documents/OG_696/facility!search","OG_696_Docs")</f>
        <v>OG_696_Docs</v>
      </c>
      <c r="E726" s="57" t="str">
        <f>HYPERLINK("https://ca.dep.state.fl.us/mapdirect/?focus=oilandgas&amp;zoom=query&amp;querytype=oilandgas&amp;queryvalues=OG_696","OG_696_Map")</f>
        <v>OG_696_Map</v>
      </c>
      <c r="F726" s="1" t="s">
        <v>8909</v>
      </c>
      <c r="G726" s="1" t="s">
        <v>79</v>
      </c>
      <c r="H726" s="1" t="s">
        <v>8910</v>
      </c>
      <c r="I726" s="1" t="s">
        <v>8911</v>
      </c>
      <c r="J726" s="17" t="s">
        <v>82</v>
      </c>
      <c r="K726" s="17" t="s">
        <v>83</v>
      </c>
      <c r="L726" s="17"/>
      <c r="M726" s="17" t="s">
        <v>84</v>
      </c>
      <c r="N726" s="52" t="s">
        <v>8912</v>
      </c>
      <c r="O726" s="17" t="s">
        <v>86</v>
      </c>
      <c r="P726" s="17" t="s">
        <v>340</v>
      </c>
      <c r="Q726" s="81" t="s">
        <v>8913</v>
      </c>
      <c r="R726" s="11">
        <v>30.283974000000001</v>
      </c>
      <c r="S726" s="11">
        <v>-84.526116999999999</v>
      </c>
      <c r="T726" s="11" t="s">
        <v>8914</v>
      </c>
      <c r="U726" s="11" t="s">
        <v>8915</v>
      </c>
      <c r="V726" s="17" t="s">
        <v>8916</v>
      </c>
      <c r="W726" s="17" t="s">
        <v>110</v>
      </c>
      <c r="X726" s="70">
        <v>99</v>
      </c>
      <c r="Y726" s="70">
        <v>85</v>
      </c>
      <c r="Z726" s="13">
        <v>26953</v>
      </c>
      <c r="AA726" s="13">
        <v>27007</v>
      </c>
      <c r="AB726" s="13">
        <v>27117</v>
      </c>
      <c r="AC726" s="13">
        <v>27100</v>
      </c>
      <c r="AD726" s="86">
        <v>12242</v>
      </c>
      <c r="AE726" s="86">
        <v>12242</v>
      </c>
      <c r="AF726" s="70" t="s">
        <v>8917</v>
      </c>
      <c r="AG726" s="17" t="s">
        <v>8918</v>
      </c>
      <c r="AH726" s="17" t="s">
        <v>8919</v>
      </c>
      <c r="AI726" s="70" t="s">
        <v>94</v>
      </c>
      <c r="AJ726" s="17" t="s">
        <v>94</v>
      </c>
      <c r="AK726" s="17" t="s">
        <v>95</v>
      </c>
      <c r="AL726" s="17" t="s">
        <v>86</v>
      </c>
      <c r="AM726" s="17" t="s">
        <v>94</v>
      </c>
      <c r="AN726" s="17" t="s">
        <v>94</v>
      </c>
      <c r="AO726" s="17" t="s">
        <v>98</v>
      </c>
      <c r="AP726" s="17" t="s">
        <v>98</v>
      </c>
      <c r="AQ726" s="17" t="s">
        <v>98</v>
      </c>
      <c r="AR726" s="17" t="s">
        <v>94</v>
      </c>
      <c r="AS726" s="17" t="s">
        <v>8920</v>
      </c>
      <c r="AT726" s="17">
        <v>208</v>
      </c>
      <c r="AU726" s="30" t="s">
        <v>8921</v>
      </c>
      <c r="AV726" s="14">
        <v>12114</v>
      </c>
      <c r="AW726" s="74"/>
      <c r="AX726" s="1"/>
      <c r="AY726" s="17" t="s">
        <v>101</v>
      </c>
    </row>
    <row r="727" spans="1:51" ht="12.75" customHeight="1" x14ac:dyDescent="0.25">
      <c r="A727" s="5">
        <v>697</v>
      </c>
      <c r="B727" s="9">
        <v>697</v>
      </c>
      <c r="C727" s="9" t="s">
        <v>8922</v>
      </c>
      <c r="D727" s="57" t="str">
        <f>HYPERLINK("http://prodenv.dep.state.fl.us/DepNexus/public/electronic-documents/OG_697/facility!search","OG_697_Docs")</f>
        <v>OG_697_Docs</v>
      </c>
      <c r="E727" s="57" t="str">
        <f>HYPERLINK("https://ca.dep.state.fl.us/mapdirect/?focus=oilandgas&amp;zoom=query&amp;querytype=oilandgas&amp;queryvalues=OG_697","OG_697_Map")</f>
        <v>OG_697_Map</v>
      </c>
      <c r="F727" s="1" t="s">
        <v>265</v>
      </c>
      <c r="G727" s="1" t="s">
        <v>79</v>
      </c>
      <c r="H727" s="1" t="s">
        <v>7836</v>
      </c>
      <c r="I727" s="1" t="s">
        <v>8524</v>
      </c>
      <c r="J727" s="17" t="s">
        <v>82</v>
      </c>
      <c r="K727" s="17" t="s">
        <v>83</v>
      </c>
      <c r="L727" s="17"/>
      <c r="M727" s="17" t="s">
        <v>101</v>
      </c>
      <c r="N727" s="52" t="s">
        <v>7797</v>
      </c>
      <c r="O727" s="17" t="s">
        <v>270</v>
      </c>
      <c r="P727" s="17" t="s">
        <v>86</v>
      </c>
      <c r="Q727" s="81" t="s">
        <v>8923</v>
      </c>
      <c r="R727" s="11">
        <v>26.467766999999998</v>
      </c>
      <c r="S727" s="11">
        <v>-81.299069000000003</v>
      </c>
      <c r="T727" s="11" t="s">
        <v>8924</v>
      </c>
      <c r="U727" s="11" t="s">
        <v>8925</v>
      </c>
      <c r="V727" s="17" t="s">
        <v>8926</v>
      </c>
      <c r="W727" s="17" t="s">
        <v>110</v>
      </c>
      <c r="X727" s="70">
        <v>45.05</v>
      </c>
      <c r="Y727" s="70">
        <v>29.25</v>
      </c>
      <c r="Z727" s="13">
        <v>26939</v>
      </c>
      <c r="AA727" s="13">
        <v>26994</v>
      </c>
      <c r="AB727" s="13"/>
      <c r="AC727" s="13">
        <v>27048</v>
      </c>
      <c r="AD727" s="86">
        <v>13000</v>
      </c>
      <c r="AE727" s="86">
        <v>13000</v>
      </c>
      <c r="AF727" s="70" t="s">
        <v>4998</v>
      </c>
      <c r="AG727" s="17" t="s">
        <v>8927</v>
      </c>
      <c r="AH727" s="17" t="s">
        <v>8928</v>
      </c>
      <c r="AI727" s="70" t="s">
        <v>94</v>
      </c>
      <c r="AJ727" s="17" t="s">
        <v>94</v>
      </c>
      <c r="AK727" s="17" t="s">
        <v>95</v>
      </c>
      <c r="AL727" s="17" t="s">
        <v>94</v>
      </c>
      <c r="AM727" s="17" t="s">
        <v>94</v>
      </c>
      <c r="AN727" s="17" t="s">
        <v>94</v>
      </c>
      <c r="AO727" s="17" t="s">
        <v>98</v>
      </c>
      <c r="AP727" s="17" t="s">
        <v>98</v>
      </c>
      <c r="AQ727" s="17" t="s">
        <v>98</v>
      </c>
      <c r="AR727" s="17" t="s">
        <v>94</v>
      </c>
      <c r="AS727" s="17" t="s">
        <v>8929</v>
      </c>
      <c r="AT727" s="17">
        <v>203</v>
      </c>
      <c r="AU727" s="30" t="s">
        <v>8930</v>
      </c>
      <c r="AV727" s="14">
        <v>12540</v>
      </c>
      <c r="AW727" s="74"/>
      <c r="AX727" s="1"/>
      <c r="AY727" s="17" t="s">
        <v>101</v>
      </c>
    </row>
    <row r="728" spans="1:51" ht="12.75" customHeight="1" x14ac:dyDescent="0.25">
      <c r="A728" s="5">
        <v>698</v>
      </c>
      <c r="B728" s="9">
        <v>698</v>
      </c>
      <c r="C728" s="9" t="s">
        <v>8931</v>
      </c>
      <c r="D728" s="57" t="str">
        <f>HYPERLINK("http://prodenv.dep.state.fl.us/DepNexus/public/electronic-documents/OG_698/facility!search","OG_698_Docs")</f>
        <v>OG_698_Docs</v>
      </c>
      <c r="E728" s="57" t="str">
        <f>HYPERLINK("https://ca.dep.state.fl.us/mapdirect/?focus=oilandgas&amp;zoom=query&amp;querytype=oilandgas&amp;queryvalues=OG_698","OG_698_Map")</f>
        <v>OG_698_Map</v>
      </c>
      <c r="F728" s="1" t="s">
        <v>1752</v>
      </c>
      <c r="G728" s="1" t="s">
        <v>79</v>
      </c>
      <c r="H728" s="1" t="s">
        <v>6141</v>
      </c>
      <c r="I728" s="1" t="s">
        <v>8932</v>
      </c>
      <c r="J728" s="17" t="s">
        <v>82</v>
      </c>
      <c r="K728" s="17" t="s">
        <v>83</v>
      </c>
      <c r="L728" s="17"/>
      <c r="M728" s="17"/>
      <c r="N728" s="52" t="s">
        <v>3956</v>
      </c>
      <c r="O728" s="17" t="s">
        <v>270</v>
      </c>
      <c r="P728" s="17" t="s">
        <v>86</v>
      </c>
      <c r="Q728" s="81" t="s">
        <v>8933</v>
      </c>
      <c r="R728" s="11">
        <v>26.355460999999998</v>
      </c>
      <c r="S728" s="11">
        <v>-81.015049000000005</v>
      </c>
      <c r="T728" s="11" t="s">
        <v>8934</v>
      </c>
      <c r="U728" s="11" t="s">
        <v>8935</v>
      </c>
      <c r="V728" s="17" t="s">
        <v>8936</v>
      </c>
      <c r="W728" s="17" t="s">
        <v>110</v>
      </c>
      <c r="X728" s="70">
        <v>44.2</v>
      </c>
      <c r="Y728" s="70">
        <v>19</v>
      </c>
      <c r="Z728" s="13">
        <v>26939</v>
      </c>
      <c r="AA728" s="13">
        <v>27071</v>
      </c>
      <c r="AB728" s="13"/>
      <c r="AC728" s="13">
        <v>27101</v>
      </c>
      <c r="AD728" s="86">
        <v>11640</v>
      </c>
      <c r="AE728" s="86">
        <v>11640</v>
      </c>
      <c r="AF728" s="70" t="s">
        <v>8937</v>
      </c>
      <c r="AG728" s="17" t="s">
        <v>8308</v>
      </c>
      <c r="AH728" s="17" t="s">
        <v>8938</v>
      </c>
      <c r="AI728" s="70" t="s">
        <v>94</v>
      </c>
      <c r="AJ728" s="17" t="s">
        <v>94</v>
      </c>
      <c r="AK728" s="17" t="s">
        <v>95</v>
      </c>
      <c r="AL728" s="17" t="s">
        <v>94</v>
      </c>
      <c r="AM728" s="17" t="s">
        <v>94</v>
      </c>
      <c r="AN728" s="17" t="s">
        <v>94</v>
      </c>
      <c r="AO728" s="17" t="s">
        <v>98</v>
      </c>
      <c r="AP728" s="17" t="s">
        <v>98</v>
      </c>
      <c r="AQ728" s="17" t="s">
        <v>98</v>
      </c>
      <c r="AR728" s="17" t="s">
        <v>94</v>
      </c>
      <c r="AS728" s="17" t="s">
        <v>8939</v>
      </c>
      <c r="AT728" s="17"/>
      <c r="AU728" s="30" t="s">
        <v>8940</v>
      </c>
      <c r="AV728" s="14">
        <v>12276</v>
      </c>
      <c r="AW728" s="74"/>
      <c r="AX728" s="1"/>
      <c r="AY728" s="17" t="s">
        <v>101</v>
      </c>
    </row>
    <row r="729" spans="1:51" ht="12.75" customHeight="1" x14ac:dyDescent="0.25">
      <c r="A729" s="5">
        <v>699</v>
      </c>
      <c r="B729" s="9">
        <v>699</v>
      </c>
      <c r="C729" s="9" t="s">
        <v>8941</v>
      </c>
      <c r="D729" s="57" t="str">
        <f>HYPERLINK("http://prodenv.dep.state.fl.us/DepNexus/public/electronic-documents/OG_699/facility!search","OG_699_Docs")</f>
        <v>OG_699_Docs</v>
      </c>
      <c r="E729" s="57" t="str">
        <f>HYPERLINK("https://ca.dep.state.fl.us/mapdirect/?focus=oilandgas&amp;zoom=query&amp;querytype=oilandgas&amp;queryvalues=OG_699","OG_699_Map")</f>
        <v>OG_699_Map</v>
      </c>
      <c r="F729" s="1" t="s">
        <v>265</v>
      </c>
      <c r="G729" s="1" t="s">
        <v>79</v>
      </c>
      <c r="H729" s="1" t="s">
        <v>6141</v>
      </c>
      <c r="I729" s="1" t="s">
        <v>8942</v>
      </c>
      <c r="J729" s="17" t="s">
        <v>82</v>
      </c>
      <c r="K729" s="17" t="s">
        <v>83</v>
      </c>
      <c r="L729" s="17"/>
      <c r="M729" s="17"/>
      <c r="N729" s="52" t="s">
        <v>3956</v>
      </c>
      <c r="O729" s="17" t="s">
        <v>270</v>
      </c>
      <c r="P729" s="17" t="s">
        <v>86</v>
      </c>
      <c r="Q729" s="81" t="s">
        <v>8943</v>
      </c>
      <c r="R729" s="11">
        <v>26.386545999999999</v>
      </c>
      <c r="S729" s="11">
        <v>-81.356386999999998</v>
      </c>
      <c r="T729" s="11" t="s">
        <v>8944</v>
      </c>
      <c r="U729" s="11" t="s">
        <v>8945</v>
      </c>
      <c r="V729" s="17" t="s">
        <v>6887</v>
      </c>
      <c r="W729" s="17" t="s">
        <v>110</v>
      </c>
      <c r="X729" s="70">
        <v>40.799999999999997</v>
      </c>
      <c r="Y729" s="70">
        <v>25</v>
      </c>
      <c r="Z729" s="13">
        <v>26939</v>
      </c>
      <c r="AA729" s="13">
        <v>26996</v>
      </c>
      <c r="AB729" s="13"/>
      <c r="AC729" s="13">
        <v>27032</v>
      </c>
      <c r="AD729" s="86">
        <v>11980</v>
      </c>
      <c r="AE729" s="86">
        <v>11980</v>
      </c>
      <c r="AF729" s="70" t="s">
        <v>7842</v>
      </c>
      <c r="AG729" s="17" t="s">
        <v>8946</v>
      </c>
      <c r="AH729" s="17" t="s">
        <v>8947</v>
      </c>
      <c r="AI729" s="70" t="s">
        <v>94</v>
      </c>
      <c r="AJ729" s="17" t="s">
        <v>94</v>
      </c>
      <c r="AK729" s="17" t="s">
        <v>95</v>
      </c>
      <c r="AL729" s="17" t="s">
        <v>94</v>
      </c>
      <c r="AM729" s="17" t="s">
        <v>94</v>
      </c>
      <c r="AN729" s="17" t="s">
        <v>94</v>
      </c>
      <c r="AO729" s="17" t="s">
        <v>98</v>
      </c>
      <c r="AP729" s="17" t="s">
        <v>98</v>
      </c>
      <c r="AQ729" s="17" t="s">
        <v>98</v>
      </c>
      <c r="AR729" s="17" t="s">
        <v>94</v>
      </c>
      <c r="AS729" s="17" t="s">
        <v>8948</v>
      </c>
      <c r="AT729" s="17"/>
      <c r="AU729" s="30" t="s">
        <v>8949</v>
      </c>
      <c r="AV729" s="14">
        <v>12275</v>
      </c>
      <c r="AW729" s="74"/>
      <c r="AX729" s="1"/>
      <c r="AY729" s="17" t="s">
        <v>101</v>
      </c>
    </row>
    <row r="730" spans="1:51" ht="12.75" customHeight="1" x14ac:dyDescent="0.25">
      <c r="A730" s="5">
        <v>700</v>
      </c>
      <c r="B730" s="9">
        <v>700</v>
      </c>
      <c r="C730" s="9" t="s">
        <v>8950</v>
      </c>
      <c r="D730" s="57" t="str">
        <f>HYPERLINK("http://prodenv.dep.state.fl.us/DepNexus/public/electronic-documents/OG_700/facility!search","OG_700_Docs")</f>
        <v>OG_700_Docs</v>
      </c>
      <c r="E730" s="57" t="str">
        <f>HYPERLINK("https://ca.dep.state.fl.us/mapdirect/?focus=oilandgas&amp;zoom=query&amp;querytype=oilandgas&amp;queryvalues=OG_700","OG_700_Map")</f>
        <v>OG_700_Map</v>
      </c>
      <c r="F730" s="1" t="s">
        <v>1752</v>
      </c>
      <c r="G730" s="1" t="s">
        <v>79</v>
      </c>
      <c r="H730" s="1" t="s">
        <v>6141</v>
      </c>
      <c r="I730" s="1" t="s">
        <v>8951</v>
      </c>
      <c r="J730" s="17" t="s">
        <v>82</v>
      </c>
      <c r="K730" s="17" t="s">
        <v>83</v>
      </c>
      <c r="L730" s="17"/>
      <c r="M730" s="17" t="s">
        <v>101</v>
      </c>
      <c r="N730" s="52" t="s">
        <v>3956</v>
      </c>
      <c r="O730" s="17" t="s">
        <v>270</v>
      </c>
      <c r="P730" s="17" t="s">
        <v>86</v>
      </c>
      <c r="Q730" s="81" t="s">
        <v>8952</v>
      </c>
      <c r="R730" s="11">
        <v>26.322561</v>
      </c>
      <c r="S730" s="11">
        <v>-81.266310000000004</v>
      </c>
      <c r="T730" s="11" t="s">
        <v>8953</v>
      </c>
      <c r="U730" s="11" t="s">
        <v>8954</v>
      </c>
      <c r="V730" s="17" t="s">
        <v>5953</v>
      </c>
      <c r="W730" s="17" t="s">
        <v>110</v>
      </c>
      <c r="X730" s="70">
        <v>39.299999999999997</v>
      </c>
      <c r="Y730" s="70">
        <v>23.5</v>
      </c>
      <c r="Z730" s="13">
        <v>26939</v>
      </c>
      <c r="AA730" s="13">
        <v>27036</v>
      </c>
      <c r="AB730" s="13"/>
      <c r="AC730" s="13">
        <v>27065</v>
      </c>
      <c r="AD730" s="86">
        <v>11910</v>
      </c>
      <c r="AE730" s="86">
        <v>11910</v>
      </c>
      <c r="AF730" s="70" t="s">
        <v>8955</v>
      </c>
      <c r="AG730" s="17" t="s">
        <v>8956</v>
      </c>
      <c r="AH730" s="17" t="s">
        <v>8957</v>
      </c>
      <c r="AI730" s="70" t="s">
        <v>94</v>
      </c>
      <c r="AJ730" s="17" t="s">
        <v>94</v>
      </c>
      <c r="AK730" s="17" t="s">
        <v>95</v>
      </c>
      <c r="AL730" s="17" t="s">
        <v>94</v>
      </c>
      <c r="AM730" s="17" t="s">
        <v>94</v>
      </c>
      <c r="AN730" s="17" t="s">
        <v>94</v>
      </c>
      <c r="AO730" s="17" t="s">
        <v>98</v>
      </c>
      <c r="AP730" s="17" t="s">
        <v>98</v>
      </c>
      <c r="AQ730" s="17" t="s">
        <v>98</v>
      </c>
      <c r="AR730" s="17" t="s">
        <v>94</v>
      </c>
      <c r="AS730" s="17" t="s">
        <v>8958</v>
      </c>
      <c r="AT730" s="17">
        <v>195</v>
      </c>
      <c r="AU730" s="30" t="s">
        <v>8959</v>
      </c>
      <c r="AV730" s="14">
        <v>12274</v>
      </c>
      <c r="AW730" s="74"/>
      <c r="AX730" s="1"/>
      <c r="AY730" s="17" t="s">
        <v>101</v>
      </c>
    </row>
    <row r="731" spans="1:51" ht="12.75" customHeight="1" x14ac:dyDescent="0.25">
      <c r="A731" s="5">
        <v>701</v>
      </c>
      <c r="B731" s="9">
        <v>701</v>
      </c>
      <c r="C731" s="9" t="s">
        <v>8960</v>
      </c>
      <c r="D731" s="57" t="str">
        <f>HYPERLINK("http://prodenv.dep.state.fl.us/DepNexus/public/electronic-documents/OG_701/facility!search","OG_701_Docs")</f>
        <v>OG_701_Docs</v>
      </c>
      <c r="E731" s="57" t="str">
        <f>HYPERLINK("https://ca.dep.state.fl.us/mapdirect/?focus=oilandgas&amp;zoom=query&amp;querytype=oilandgas&amp;queryvalues=OG_701","OG_701_Map")</f>
        <v>OG_701_Map</v>
      </c>
      <c r="F731" s="1" t="s">
        <v>265</v>
      </c>
      <c r="G731" s="1" t="s">
        <v>79</v>
      </c>
      <c r="H731" s="1" t="s">
        <v>6141</v>
      </c>
      <c r="I731" s="1" t="s">
        <v>8961</v>
      </c>
      <c r="J731" s="17" t="s">
        <v>82</v>
      </c>
      <c r="K731" s="17" t="s">
        <v>83</v>
      </c>
      <c r="L731" s="17"/>
      <c r="M731" s="17"/>
      <c r="N731" s="52" t="s">
        <v>3956</v>
      </c>
      <c r="O731" s="17" t="s">
        <v>86</v>
      </c>
      <c r="P731" s="17" t="s">
        <v>86</v>
      </c>
      <c r="Q731" s="81" t="s">
        <v>8962</v>
      </c>
      <c r="R731" s="11">
        <v>26.495367999999999</v>
      </c>
      <c r="S731" s="11">
        <v>-81.518726999999998</v>
      </c>
      <c r="T731" s="11" t="s">
        <v>8963</v>
      </c>
      <c r="U731" s="11" t="s">
        <v>8964</v>
      </c>
      <c r="V731" s="17" t="s">
        <v>8965</v>
      </c>
      <c r="W731" s="17" t="s">
        <v>110</v>
      </c>
      <c r="X731" s="70">
        <v>38.200000000000003</v>
      </c>
      <c r="Y731" s="70">
        <v>22.7</v>
      </c>
      <c r="Z731" s="13">
        <v>26939</v>
      </c>
      <c r="AA731" s="13">
        <v>27255</v>
      </c>
      <c r="AB731" s="13"/>
      <c r="AC731" s="13">
        <v>27284</v>
      </c>
      <c r="AD731" s="86">
        <v>11793</v>
      </c>
      <c r="AE731" s="86">
        <v>11793</v>
      </c>
      <c r="AF731" s="70" t="s">
        <v>5089</v>
      </c>
      <c r="AG731" s="17" t="s">
        <v>8966</v>
      </c>
      <c r="AH731" s="17" t="s">
        <v>8967</v>
      </c>
      <c r="AI731" s="70" t="s">
        <v>94</v>
      </c>
      <c r="AJ731" s="17" t="s">
        <v>94</v>
      </c>
      <c r="AK731" s="17" t="s">
        <v>95</v>
      </c>
      <c r="AL731" s="17" t="s">
        <v>94</v>
      </c>
      <c r="AM731" s="17" t="s">
        <v>94</v>
      </c>
      <c r="AN731" s="17" t="s">
        <v>94</v>
      </c>
      <c r="AO731" s="17" t="s">
        <v>98</v>
      </c>
      <c r="AP731" s="17" t="s">
        <v>98</v>
      </c>
      <c r="AQ731" s="17" t="s">
        <v>98</v>
      </c>
      <c r="AR731" s="17" t="s">
        <v>94</v>
      </c>
      <c r="AS731" s="17" t="s">
        <v>8968</v>
      </c>
      <c r="AT731" s="17"/>
      <c r="AU731" s="30" t="s">
        <v>8969</v>
      </c>
      <c r="AV731" s="14">
        <v>12530</v>
      </c>
      <c r="AW731" s="74"/>
      <c r="AX731" s="1"/>
      <c r="AY731" s="17" t="s">
        <v>101</v>
      </c>
    </row>
    <row r="732" spans="1:51" ht="12.75" customHeight="1" x14ac:dyDescent="0.25">
      <c r="A732" s="5">
        <v>702</v>
      </c>
      <c r="B732" s="9">
        <v>702</v>
      </c>
      <c r="C732" s="9" t="s">
        <v>8970</v>
      </c>
      <c r="D732" s="57" t="str">
        <f>HYPERLINK("http://prodenv.dep.state.fl.us/DepNexus/public/electronic-documents/OG_702/facility!search","OG_702_Docs")</f>
        <v>OG_702_Docs</v>
      </c>
      <c r="E732" s="57" t="str">
        <f>HYPERLINK("https://ca.dep.state.fl.us/mapdirect/?focus=oilandgas&amp;zoom=query&amp;querytype=oilandgas&amp;queryvalues=OG_702","OG_702_Map")</f>
        <v>OG_702_Map</v>
      </c>
      <c r="F732" s="1" t="s">
        <v>1752</v>
      </c>
      <c r="G732" s="1" t="s">
        <v>8522</v>
      </c>
      <c r="H732" s="1" t="s">
        <v>8523</v>
      </c>
      <c r="I732" s="1" t="s">
        <v>8971</v>
      </c>
      <c r="J732" s="17" t="s">
        <v>82</v>
      </c>
      <c r="K732" s="17" t="s">
        <v>83</v>
      </c>
      <c r="L732" s="17"/>
      <c r="M732" s="17"/>
      <c r="N732" s="52" t="s">
        <v>3956</v>
      </c>
      <c r="O732" s="17" t="s">
        <v>270</v>
      </c>
      <c r="P732" s="17" t="s">
        <v>5157</v>
      </c>
      <c r="Q732" s="81" t="s">
        <v>8972</v>
      </c>
      <c r="R732" s="11">
        <v>26.319379000000001</v>
      </c>
      <c r="S732" s="11">
        <v>-81.070725999999993</v>
      </c>
      <c r="T732" s="11" t="s">
        <v>8973</v>
      </c>
      <c r="U732" s="11" t="s">
        <v>8974</v>
      </c>
      <c r="V732" s="17" t="s">
        <v>8975</v>
      </c>
      <c r="W732" s="17" t="s">
        <v>110</v>
      </c>
      <c r="X732" s="70">
        <v>35</v>
      </c>
      <c r="Y732" s="70">
        <v>19</v>
      </c>
      <c r="Z732" s="13">
        <v>26953</v>
      </c>
      <c r="AA732" s="13">
        <v>27148</v>
      </c>
      <c r="AB732" s="13"/>
      <c r="AC732" s="13">
        <v>27178</v>
      </c>
      <c r="AD732" s="86">
        <v>11641</v>
      </c>
      <c r="AE732" s="86">
        <v>11641</v>
      </c>
      <c r="AF732" s="70" t="s">
        <v>8976</v>
      </c>
      <c r="AG732" s="17" t="s">
        <v>8977</v>
      </c>
      <c r="AH732" s="17" t="s">
        <v>8978</v>
      </c>
      <c r="AI732" s="70" t="s">
        <v>94</v>
      </c>
      <c r="AJ732" s="17" t="s">
        <v>94</v>
      </c>
      <c r="AK732" s="17" t="s">
        <v>95</v>
      </c>
      <c r="AL732" s="17" t="s">
        <v>8979</v>
      </c>
      <c r="AM732" s="17" t="s">
        <v>825</v>
      </c>
      <c r="AN732" s="17" t="s">
        <v>8980</v>
      </c>
      <c r="AO732" s="17" t="s">
        <v>98</v>
      </c>
      <c r="AP732" s="17" t="s">
        <v>98</v>
      </c>
      <c r="AQ732" s="17" t="s">
        <v>98</v>
      </c>
      <c r="AR732" s="17" t="s">
        <v>94</v>
      </c>
      <c r="AS732" s="17" t="s">
        <v>8981</v>
      </c>
      <c r="AT732" s="17">
        <v>192</v>
      </c>
      <c r="AU732" s="30" t="s">
        <v>8982</v>
      </c>
      <c r="AV732" s="14">
        <v>12377</v>
      </c>
      <c r="AW732" s="74"/>
      <c r="AX732" s="1"/>
      <c r="AY732" s="17" t="s">
        <v>101</v>
      </c>
    </row>
    <row r="733" spans="1:51" ht="12.75" customHeight="1" x14ac:dyDescent="0.25">
      <c r="A733" s="5">
        <v>703</v>
      </c>
      <c r="B733" s="9">
        <v>703</v>
      </c>
      <c r="C733" s="9" t="s">
        <v>8983</v>
      </c>
      <c r="D733" s="57" t="str">
        <f>HYPERLINK("http://prodenv.dep.state.fl.us/DepNexus/public/electronic-documents/OG_703/facility!search","OG_703_Docs")</f>
        <v>OG_703_Docs</v>
      </c>
      <c r="E733" s="57" t="str">
        <f>HYPERLINK("https://ca.dep.state.fl.us/mapdirect/?focus=oilandgas&amp;zoom=query&amp;querytype=oilandgas&amp;queryvalues=OG_703","OG_703_Map")</f>
        <v>OG_703_Map</v>
      </c>
      <c r="F733" s="1" t="s">
        <v>1752</v>
      </c>
      <c r="G733" s="1" t="s">
        <v>8522</v>
      </c>
      <c r="H733" s="1" t="s">
        <v>8523</v>
      </c>
      <c r="I733" s="1" t="s">
        <v>8984</v>
      </c>
      <c r="J733" s="17" t="s">
        <v>207</v>
      </c>
      <c r="K733" s="17" t="s">
        <v>208</v>
      </c>
      <c r="L733" s="17"/>
      <c r="M733" s="17" t="s">
        <v>207</v>
      </c>
      <c r="N733" s="52" t="s">
        <v>86</v>
      </c>
      <c r="O733" s="17" t="s">
        <v>270</v>
      </c>
      <c r="P733" s="17" t="s">
        <v>86</v>
      </c>
      <c r="Q733" s="81" t="s">
        <v>8985</v>
      </c>
      <c r="R733" s="11">
        <v>26.325398</v>
      </c>
      <c r="S733" s="11">
        <v>-81.081132999999994</v>
      </c>
      <c r="T733" s="11" t="s">
        <v>8986</v>
      </c>
      <c r="U733" s="11" t="s">
        <v>8987</v>
      </c>
      <c r="V733" s="17" t="s">
        <v>8988</v>
      </c>
      <c r="W733" s="17" t="s">
        <v>110</v>
      </c>
      <c r="X733" s="70"/>
      <c r="Y733" s="70"/>
      <c r="Z733" s="13">
        <v>26974</v>
      </c>
      <c r="AA733" s="13"/>
      <c r="AB733" s="13"/>
      <c r="AC733" s="13"/>
      <c r="AD733" s="86"/>
      <c r="AE733" s="70"/>
      <c r="AF733" s="70" t="s">
        <v>207</v>
      </c>
      <c r="AG733" s="14" t="s">
        <v>207</v>
      </c>
      <c r="AH733" s="14" t="s">
        <v>207</v>
      </c>
      <c r="AI733" s="70" t="s">
        <v>207</v>
      </c>
      <c r="AJ733" s="14" t="s">
        <v>207</v>
      </c>
      <c r="AK733" s="14" t="s">
        <v>207</v>
      </c>
      <c r="AL733" s="14" t="s">
        <v>207</v>
      </c>
      <c r="AM733" s="14" t="s">
        <v>207</v>
      </c>
      <c r="AN733" s="14" t="s">
        <v>207</v>
      </c>
      <c r="AO733" s="14" t="s">
        <v>207</v>
      </c>
      <c r="AP733" s="14" t="s">
        <v>207</v>
      </c>
      <c r="AQ733" s="14" t="s">
        <v>207</v>
      </c>
      <c r="AR733" s="14" t="s">
        <v>207</v>
      </c>
      <c r="AS733" s="14" t="s">
        <v>207</v>
      </c>
      <c r="AT733" s="14" t="s">
        <v>207</v>
      </c>
      <c r="AU733" s="30" t="s">
        <v>8989</v>
      </c>
      <c r="AV733" s="14" t="s">
        <v>207</v>
      </c>
      <c r="AW733" s="74"/>
      <c r="AX733" s="1"/>
      <c r="AY733" s="17" t="s">
        <v>101</v>
      </c>
    </row>
    <row r="734" spans="1:51" ht="12.75" customHeight="1" x14ac:dyDescent="0.25">
      <c r="A734" s="5">
        <v>704</v>
      </c>
      <c r="B734" s="9">
        <v>704</v>
      </c>
      <c r="C734" s="9" t="s">
        <v>8990</v>
      </c>
      <c r="D734" s="57" t="str">
        <f>HYPERLINK("http://prodenv.dep.state.fl.us/DepNexus/public/electronic-documents/OG_704/facility!search","OG_704_Docs")</f>
        <v>OG_704_Docs</v>
      </c>
      <c r="E734" s="57" t="str">
        <f>HYPERLINK("https://ca.dep.state.fl.us/mapdirect/?focus=oilandgas&amp;zoom=query&amp;querytype=oilandgas&amp;queryvalues=OG_704","OG_704_Map")</f>
        <v>OG_704_Map</v>
      </c>
      <c r="F734" s="1" t="s">
        <v>1752</v>
      </c>
      <c r="G734" s="1" t="s">
        <v>8522</v>
      </c>
      <c r="H734" s="1" t="s">
        <v>8523</v>
      </c>
      <c r="I734" s="1" t="s">
        <v>8991</v>
      </c>
      <c r="J734" s="17" t="s">
        <v>207</v>
      </c>
      <c r="K734" s="17" t="s">
        <v>208</v>
      </c>
      <c r="L734" s="17"/>
      <c r="M734" s="17" t="s">
        <v>207</v>
      </c>
      <c r="N734" s="52" t="s">
        <v>86</v>
      </c>
      <c r="O734" s="17" t="s">
        <v>270</v>
      </c>
      <c r="P734" s="17" t="s">
        <v>5157</v>
      </c>
      <c r="Q734" s="81" t="s">
        <v>8992</v>
      </c>
      <c r="R734" s="11">
        <v>26.310872</v>
      </c>
      <c r="S734" s="11">
        <v>-81.071180999999996</v>
      </c>
      <c r="T734" s="11" t="s">
        <v>8993</v>
      </c>
      <c r="U734" s="11" t="s">
        <v>8994</v>
      </c>
      <c r="V734" s="17" t="s">
        <v>5953</v>
      </c>
      <c r="W734" s="17" t="s">
        <v>110</v>
      </c>
      <c r="X734" s="70"/>
      <c r="Y734" s="70"/>
      <c r="Z734" s="13">
        <v>26974</v>
      </c>
      <c r="AA734" s="13"/>
      <c r="AB734" s="13"/>
      <c r="AC734" s="13"/>
      <c r="AD734" s="86"/>
      <c r="AE734" s="70"/>
      <c r="AF734" s="70" t="s">
        <v>207</v>
      </c>
      <c r="AG734" s="14" t="s">
        <v>207</v>
      </c>
      <c r="AH734" s="14" t="s">
        <v>207</v>
      </c>
      <c r="AI734" s="70" t="s">
        <v>207</v>
      </c>
      <c r="AJ734" s="14" t="s">
        <v>207</v>
      </c>
      <c r="AK734" s="14" t="s">
        <v>207</v>
      </c>
      <c r="AL734" s="14" t="s">
        <v>207</v>
      </c>
      <c r="AM734" s="14" t="s">
        <v>207</v>
      </c>
      <c r="AN734" s="14" t="s">
        <v>207</v>
      </c>
      <c r="AO734" s="14" t="s">
        <v>207</v>
      </c>
      <c r="AP734" s="14" t="s">
        <v>207</v>
      </c>
      <c r="AQ734" s="14" t="s">
        <v>207</v>
      </c>
      <c r="AR734" s="14" t="s">
        <v>207</v>
      </c>
      <c r="AS734" s="14" t="s">
        <v>207</v>
      </c>
      <c r="AT734" s="14" t="s">
        <v>207</v>
      </c>
      <c r="AU734" s="30" t="s">
        <v>8995</v>
      </c>
      <c r="AV734" s="14" t="s">
        <v>207</v>
      </c>
      <c r="AW734" s="74"/>
      <c r="AX734" s="1"/>
      <c r="AY734" s="17" t="s">
        <v>101</v>
      </c>
    </row>
    <row r="735" spans="1:51" ht="12.75" customHeight="1" x14ac:dyDescent="0.25">
      <c r="A735" s="5">
        <v>705</v>
      </c>
      <c r="B735" s="9">
        <v>705</v>
      </c>
      <c r="C735" s="9" t="s">
        <v>8996</v>
      </c>
      <c r="D735" s="57" t="str">
        <f>HYPERLINK("http://prodenv.dep.state.fl.us/DepNexus/public/electronic-documents/OG_705/facility!search","OG_705_Docs")</f>
        <v>OG_705_Docs</v>
      </c>
      <c r="E735" s="57" t="str">
        <f>HYPERLINK("https://ca.dep.state.fl.us/mapdirect/?focus=oilandgas&amp;zoom=query&amp;querytype=oilandgas&amp;queryvalues=OG_705","OG_705_Map")</f>
        <v>OG_705_Map</v>
      </c>
      <c r="F735" s="1" t="s">
        <v>1797</v>
      </c>
      <c r="G735" s="1" t="s">
        <v>6648</v>
      </c>
      <c r="H735" s="1" t="s">
        <v>8261</v>
      </c>
      <c r="I735" s="1" t="s">
        <v>8997</v>
      </c>
      <c r="J735" s="17" t="s">
        <v>82</v>
      </c>
      <c r="K735" s="17" t="s">
        <v>83</v>
      </c>
      <c r="L735" s="17"/>
      <c r="M735" s="17"/>
      <c r="N735" s="52" t="s">
        <v>6529</v>
      </c>
      <c r="O735" s="17" t="s">
        <v>86</v>
      </c>
      <c r="P735" s="17" t="s">
        <v>86</v>
      </c>
      <c r="Q735" s="81" t="s">
        <v>8998</v>
      </c>
      <c r="R735" s="11">
        <v>30.852509000000001</v>
      </c>
      <c r="S735" s="11">
        <v>-87.088627000000002</v>
      </c>
      <c r="T735" s="11" t="s">
        <v>8999</v>
      </c>
      <c r="U735" s="11" t="s">
        <v>9000</v>
      </c>
      <c r="V735" s="17" t="s">
        <v>9001</v>
      </c>
      <c r="W735" s="17" t="s">
        <v>110</v>
      </c>
      <c r="X735" s="70">
        <v>196</v>
      </c>
      <c r="Y735" s="70">
        <v>172.4</v>
      </c>
      <c r="Z735" s="13">
        <v>26974</v>
      </c>
      <c r="AA735" s="13">
        <v>26977</v>
      </c>
      <c r="AB735" s="13"/>
      <c r="AC735" s="13">
        <v>27068</v>
      </c>
      <c r="AD735" s="86">
        <v>16034</v>
      </c>
      <c r="AE735" s="86">
        <v>16034</v>
      </c>
      <c r="AF735" s="70" t="s">
        <v>6803</v>
      </c>
      <c r="AG735" s="17" t="s">
        <v>9002</v>
      </c>
      <c r="AH735" s="17" t="s">
        <v>94</v>
      </c>
      <c r="AI735" s="70" t="s">
        <v>94</v>
      </c>
      <c r="AJ735" s="17" t="s">
        <v>94</v>
      </c>
      <c r="AK735" s="17" t="s">
        <v>95</v>
      </c>
      <c r="AL735" s="17" t="s">
        <v>94</v>
      </c>
      <c r="AM735" s="17" t="s">
        <v>94</v>
      </c>
      <c r="AN735" s="17" t="s">
        <v>94</v>
      </c>
      <c r="AO735" s="17" t="s">
        <v>98</v>
      </c>
      <c r="AP735" s="17" t="s">
        <v>98</v>
      </c>
      <c r="AQ735" s="17" t="s">
        <v>98</v>
      </c>
      <c r="AR735" s="17" t="s">
        <v>94</v>
      </c>
      <c r="AS735" s="17" t="s">
        <v>9003</v>
      </c>
      <c r="AT735" s="17"/>
      <c r="AU735" s="30" t="s">
        <v>9004</v>
      </c>
      <c r="AV735" s="14">
        <v>12157</v>
      </c>
      <c r="AW735" s="74"/>
      <c r="AX735" s="1"/>
      <c r="AY735" s="17" t="s">
        <v>101</v>
      </c>
    </row>
    <row r="736" spans="1:51" ht="12.75" customHeight="1" x14ac:dyDescent="0.25">
      <c r="A736" s="5">
        <v>706</v>
      </c>
      <c r="B736" s="9">
        <v>706</v>
      </c>
      <c r="C736" s="9" t="s">
        <v>9005</v>
      </c>
      <c r="D736" s="57" t="str">
        <f>HYPERLINK("http://prodenv.dep.state.fl.us/DepNexus/public/electronic-documents/OG_706/facility!search","OG_706_Docs")</f>
        <v>OG_706_Docs</v>
      </c>
      <c r="E736" s="57" t="str">
        <f>HYPERLINK("https://ca.dep.state.fl.us/mapdirect/?focus=oilandgas&amp;zoom=query&amp;querytype=oilandgas&amp;queryvalues=OG_706","OG_706_Map")</f>
        <v>OG_706_Map</v>
      </c>
      <c r="F736" s="1" t="s">
        <v>1797</v>
      </c>
      <c r="G736" s="1" t="s">
        <v>5133</v>
      </c>
      <c r="H736" s="1" t="s">
        <v>1363</v>
      </c>
      <c r="I736" s="1" t="s">
        <v>9006</v>
      </c>
      <c r="J736" s="17" t="s">
        <v>5135</v>
      </c>
      <c r="K736" s="17" t="s">
        <v>4266</v>
      </c>
      <c r="L736" s="17"/>
      <c r="M736" s="17"/>
      <c r="N736" s="52" t="s">
        <v>6046</v>
      </c>
      <c r="O736" s="17" t="s">
        <v>86</v>
      </c>
      <c r="P736" s="17" t="s">
        <v>86</v>
      </c>
      <c r="Q736" s="81" t="s">
        <v>9007</v>
      </c>
      <c r="R736" s="11">
        <v>30.967151999999999</v>
      </c>
      <c r="S736" s="11">
        <v>-87.208496999999994</v>
      </c>
      <c r="T736" s="11" t="s">
        <v>9008</v>
      </c>
      <c r="U736" s="11" t="s">
        <v>9009</v>
      </c>
      <c r="V736" s="17" t="s">
        <v>835</v>
      </c>
      <c r="W736" s="17" t="s">
        <v>110</v>
      </c>
      <c r="X736" s="70">
        <v>83.9</v>
      </c>
      <c r="Y736" s="70">
        <v>52.1</v>
      </c>
      <c r="Z736" s="13">
        <v>26974</v>
      </c>
      <c r="AA736" s="13">
        <v>26987</v>
      </c>
      <c r="AB736" s="13">
        <v>27054</v>
      </c>
      <c r="AC736" s="13"/>
      <c r="AD736" s="86">
        <v>15687</v>
      </c>
      <c r="AE736" s="86">
        <v>15687</v>
      </c>
      <c r="AF736" s="70" t="s">
        <v>3172</v>
      </c>
      <c r="AG736" s="17" t="s">
        <v>9010</v>
      </c>
      <c r="AH736" s="17" t="s">
        <v>94</v>
      </c>
      <c r="AI736" s="70" t="s">
        <v>9011</v>
      </c>
      <c r="AJ736" s="17" t="s">
        <v>9012</v>
      </c>
      <c r="AK736" s="17" t="s">
        <v>94</v>
      </c>
      <c r="AL736" s="17" t="s">
        <v>9013</v>
      </c>
      <c r="AM736" s="17" t="s">
        <v>95</v>
      </c>
      <c r="AN736" s="17" t="s">
        <v>94</v>
      </c>
      <c r="AO736" s="17" t="s">
        <v>9014</v>
      </c>
      <c r="AP736" s="17" t="s">
        <v>9015</v>
      </c>
      <c r="AQ736" s="17" t="s">
        <v>5738</v>
      </c>
      <c r="AR736" s="17" t="s">
        <v>9016</v>
      </c>
      <c r="AS736" s="17"/>
      <c r="AT736" s="17"/>
      <c r="AU736" s="30" t="s">
        <v>9017</v>
      </c>
      <c r="AV736" s="14">
        <v>12158</v>
      </c>
      <c r="AW736" s="74">
        <v>302990</v>
      </c>
      <c r="AX736" s="1" t="s">
        <v>9018</v>
      </c>
      <c r="AY736" s="17" t="s">
        <v>101</v>
      </c>
    </row>
    <row r="737" spans="1:51" ht="12.75" customHeight="1" x14ac:dyDescent="0.25">
      <c r="A737" s="5">
        <v>707</v>
      </c>
      <c r="B737" s="9">
        <v>707</v>
      </c>
      <c r="C737" s="9" t="s">
        <v>9019</v>
      </c>
      <c r="D737" s="57" t="str">
        <f>HYPERLINK("http://prodenv.dep.state.fl.us/DepNexus/public/electronic-documents/OG_707/facility!search","OG_707_Docs")</f>
        <v>OG_707_Docs</v>
      </c>
      <c r="E737" s="57" t="str">
        <f>HYPERLINK("https://ca.dep.state.fl.us/mapdirect/?focus=oilandgas&amp;zoom=query&amp;querytype=oilandgas&amp;queryvalues=OG_707","OG_707_Map")</f>
        <v>OG_707_Map</v>
      </c>
      <c r="F737" s="1" t="s">
        <v>1682</v>
      </c>
      <c r="G737" s="1" t="s">
        <v>5133</v>
      </c>
      <c r="H737" s="1" t="s">
        <v>5605</v>
      </c>
      <c r="I737" s="1" t="s">
        <v>9020</v>
      </c>
      <c r="J737" s="17" t="s">
        <v>268</v>
      </c>
      <c r="K737" s="17" t="s">
        <v>2105</v>
      </c>
      <c r="L737" s="17"/>
      <c r="M737" s="17" t="s">
        <v>101</v>
      </c>
      <c r="N737" s="52" t="s">
        <v>6470</v>
      </c>
      <c r="O737" s="17" t="s">
        <v>86</v>
      </c>
      <c r="P737" s="17" t="s">
        <v>86</v>
      </c>
      <c r="Q737" s="81" t="s">
        <v>9021</v>
      </c>
      <c r="R737" s="11">
        <v>30.974087000000001</v>
      </c>
      <c r="S737" s="11">
        <v>-87.217939000000001</v>
      </c>
      <c r="T737" s="11" t="s">
        <v>9022</v>
      </c>
      <c r="U737" s="11" t="s">
        <v>9023</v>
      </c>
      <c r="V737" s="17" t="s">
        <v>9024</v>
      </c>
      <c r="W737" s="17" t="s">
        <v>110</v>
      </c>
      <c r="X737" s="70">
        <v>76.47</v>
      </c>
      <c r="Y737" s="70">
        <v>49.57</v>
      </c>
      <c r="Z737" s="13">
        <v>26974</v>
      </c>
      <c r="AA737" s="13">
        <v>26974</v>
      </c>
      <c r="AB737" s="13">
        <v>27046</v>
      </c>
      <c r="AC737" s="13">
        <v>27046</v>
      </c>
      <c r="AD737" s="86">
        <v>15695</v>
      </c>
      <c r="AE737" s="86">
        <v>15695</v>
      </c>
      <c r="AF737" s="70" t="s">
        <v>505</v>
      </c>
      <c r="AG737" s="17" t="s">
        <v>9025</v>
      </c>
      <c r="AH737" s="17" t="s">
        <v>94</v>
      </c>
      <c r="AI737" s="70" t="s">
        <v>9026</v>
      </c>
      <c r="AJ737" s="17" t="s">
        <v>9027</v>
      </c>
      <c r="AK737" s="17" t="s">
        <v>95</v>
      </c>
      <c r="AL737" s="17" t="s">
        <v>9028</v>
      </c>
      <c r="AM737" s="17" t="s">
        <v>95</v>
      </c>
      <c r="AN737" s="17" t="s">
        <v>94</v>
      </c>
      <c r="AO737" s="17" t="s">
        <v>9029</v>
      </c>
      <c r="AP737" s="17" t="s">
        <v>9030</v>
      </c>
      <c r="AQ737" s="17" t="s">
        <v>9031</v>
      </c>
      <c r="AR737" s="17" t="s">
        <v>9032</v>
      </c>
      <c r="AS737" s="17" t="s">
        <v>9033</v>
      </c>
      <c r="AT737" s="17">
        <v>249</v>
      </c>
      <c r="AU737" s="30" t="s">
        <v>9034</v>
      </c>
      <c r="AV737" s="14">
        <v>12156</v>
      </c>
      <c r="AW737" s="74"/>
      <c r="AX737" s="1" t="s">
        <v>9035</v>
      </c>
      <c r="AY737" s="17" t="s">
        <v>101</v>
      </c>
    </row>
    <row r="738" spans="1:51" ht="15" customHeight="1" x14ac:dyDescent="0.25">
      <c r="A738" s="5">
        <v>708</v>
      </c>
      <c r="B738" s="9">
        <v>708</v>
      </c>
      <c r="C738" s="9" t="s">
        <v>9036</v>
      </c>
      <c r="D738" s="57" t="str">
        <f>HYPERLINK("http://prodenv.dep.state.fl.us/DepNexus/public/electronic-documents/OG_708/facility!search","OG_708_Docs")</f>
        <v>OG_708_Docs</v>
      </c>
      <c r="E738" s="57" t="str">
        <f>HYPERLINK("https://ca.dep.state.fl.us/mapdirect/?focus=oilandgas&amp;zoom=query&amp;querytype=oilandgas&amp;queryvalues=OG_708","OG_708_Map")</f>
        <v>OG_708_Map</v>
      </c>
      <c r="F738" s="1" t="s">
        <v>1682</v>
      </c>
      <c r="G738" s="1" t="s">
        <v>5133</v>
      </c>
      <c r="H738" s="1" t="s">
        <v>5605</v>
      </c>
      <c r="I738" s="1" t="s">
        <v>9037</v>
      </c>
      <c r="J738" s="17" t="s">
        <v>268</v>
      </c>
      <c r="K738" s="17" t="s">
        <v>2105</v>
      </c>
      <c r="L738" s="17"/>
      <c r="M738" s="17"/>
      <c r="N738" s="52" t="s">
        <v>6470</v>
      </c>
      <c r="O738" s="17" t="s">
        <v>86</v>
      </c>
      <c r="P738" s="17" t="s">
        <v>86</v>
      </c>
      <c r="Q738" s="81" t="s">
        <v>9038</v>
      </c>
      <c r="R738" s="11">
        <v>30.967504999999999</v>
      </c>
      <c r="S738" s="11">
        <v>-87.217305999999994</v>
      </c>
      <c r="T738" s="11" t="s">
        <v>9039</v>
      </c>
      <c r="U738" s="11" t="s">
        <v>9040</v>
      </c>
      <c r="V738" s="17" t="s">
        <v>9041</v>
      </c>
      <c r="W738" s="17" t="s">
        <v>110</v>
      </c>
      <c r="X738" s="70">
        <v>75.62</v>
      </c>
      <c r="Y738" s="70">
        <v>49.42</v>
      </c>
      <c r="Z738" s="13">
        <v>26974</v>
      </c>
      <c r="AA738" s="13">
        <v>27009</v>
      </c>
      <c r="AB738" s="13"/>
      <c r="AC738" s="13">
        <v>27066</v>
      </c>
      <c r="AD738" s="86">
        <v>15680</v>
      </c>
      <c r="AE738" s="86">
        <v>15680</v>
      </c>
      <c r="AF738" s="70" t="s">
        <v>5849</v>
      </c>
      <c r="AG738" s="17" t="s">
        <v>9042</v>
      </c>
      <c r="AH738" s="17" t="s">
        <v>94</v>
      </c>
      <c r="AI738" s="70" t="s">
        <v>9043</v>
      </c>
      <c r="AJ738" s="17" t="s">
        <v>9044</v>
      </c>
      <c r="AK738" s="17" t="s">
        <v>94</v>
      </c>
      <c r="AL738" s="17" t="s">
        <v>9045</v>
      </c>
      <c r="AM738" s="17" t="s">
        <v>95</v>
      </c>
      <c r="AN738" s="17" t="s">
        <v>94</v>
      </c>
      <c r="AO738" s="17" t="s">
        <v>9046</v>
      </c>
      <c r="AP738" s="17" t="s">
        <v>5061</v>
      </c>
      <c r="AQ738" s="17" t="s">
        <v>9047</v>
      </c>
      <c r="AR738" s="17" t="s">
        <v>9048</v>
      </c>
      <c r="AS738" s="17" t="s">
        <v>9049</v>
      </c>
      <c r="AT738" s="17"/>
      <c r="AU738" s="30" t="s">
        <v>9050</v>
      </c>
      <c r="AV738" s="14">
        <v>12191</v>
      </c>
      <c r="AW738" s="74"/>
      <c r="AX738" s="1" t="s">
        <v>9051</v>
      </c>
      <c r="AY738" s="17" t="s">
        <v>101</v>
      </c>
    </row>
    <row r="739" spans="1:51" ht="15" customHeight="1" x14ac:dyDescent="0.25">
      <c r="A739" s="5">
        <v>709</v>
      </c>
      <c r="B739" s="9">
        <v>709</v>
      </c>
      <c r="C739" s="9" t="s">
        <v>9052</v>
      </c>
      <c r="D739" s="57" t="str">
        <f>HYPERLINK("http://prodenv.dep.state.fl.us/DepNexus/public/electronic-documents/OG_709/facility!search","OG_709_Docs")</f>
        <v>OG_709_Docs</v>
      </c>
      <c r="E739" s="57" t="str">
        <f>HYPERLINK("https://ca.dep.state.fl.us/mapdirect/?focus=oilandgas&amp;zoom=query&amp;querytype=oilandgas&amp;queryvalues=OG_709","OG_709_Map")</f>
        <v>OG_709_Map</v>
      </c>
      <c r="F739" s="1" t="s">
        <v>689</v>
      </c>
      <c r="G739" s="1" t="s">
        <v>79</v>
      </c>
      <c r="H739" s="1" t="s">
        <v>6837</v>
      </c>
      <c r="I739" s="1" t="s">
        <v>9053</v>
      </c>
      <c r="J739" s="17" t="s">
        <v>82</v>
      </c>
      <c r="K739" s="17" t="s">
        <v>83</v>
      </c>
      <c r="L739" s="17"/>
      <c r="M739" s="17"/>
      <c r="N739" s="52" t="s">
        <v>6289</v>
      </c>
      <c r="O739" s="17" t="s">
        <v>86</v>
      </c>
      <c r="P739" s="17" t="s">
        <v>86</v>
      </c>
      <c r="Q739" s="81" t="s">
        <v>9054</v>
      </c>
      <c r="R739" s="11">
        <v>29.747744000000001</v>
      </c>
      <c r="S739" s="11">
        <v>-82.190338999999994</v>
      </c>
      <c r="T739" s="11" t="s">
        <v>9055</v>
      </c>
      <c r="U739" s="11" t="s">
        <v>9056</v>
      </c>
      <c r="V739" s="17" t="s">
        <v>9057</v>
      </c>
      <c r="W739" s="17" t="s">
        <v>110</v>
      </c>
      <c r="X739" s="70">
        <v>150</v>
      </c>
      <c r="Y739" s="70">
        <v>136</v>
      </c>
      <c r="Z739" s="13">
        <v>26974</v>
      </c>
      <c r="AA739" s="13">
        <v>27036</v>
      </c>
      <c r="AB739" s="13">
        <v>27056</v>
      </c>
      <c r="AC739" s="13">
        <v>27056</v>
      </c>
      <c r="AD739" s="86">
        <v>3340</v>
      </c>
      <c r="AE739" s="86">
        <v>3340</v>
      </c>
      <c r="AF739" s="70" t="s">
        <v>9058</v>
      </c>
      <c r="AG739" s="17" t="s">
        <v>9059</v>
      </c>
      <c r="AH739" s="17" t="s">
        <v>94</v>
      </c>
      <c r="AI739" s="70" t="s">
        <v>94</v>
      </c>
      <c r="AJ739" s="17" t="s">
        <v>94</v>
      </c>
      <c r="AK739" s="17" t="s">
        <v>95</v>
      </c>
      <c r="AL739" s="17" t="s">
        <v>9060</v>
      </c>
      <c r="AM739" s="17" t="s">
        <v>94</v>
      </c>
      <c r="AN739" s="17" t="s">
        <v>86</v>
      </c>
      <c r="AO739" s="17" t="s">
        <v>98</v>
      </c>
      <c r="AP739" s="17" t="s">
        <v>98</v>
      </c>
      <c r="AQ739" s="17" t="s">
        <v>98</v>
      </c>
      <c r="AR739" s="17" t="s">
        <v>94</v>
      </c>
      <c r="AS739" s="17" t="s">
        <v>9061</v>
      </c>
      <c r="AT739" s="17"/>
      <c r="AU739" s="30" t="s">
        <v>9062</v>
      </c>
      <c r="AV739" s="14">
        <v>12330</v>
      </c>
      <c r="AW739" s="74"/>
      <c r="AX739" s="1"/>
      <c r="AY739" s="17" t="s">
        <v>101</v>
      </c>
    </row>
    <row r="740" spans="1:51" ht="15" customHeight="1" x14ac:dyDescent="0.25">
      <c r="A740" s="5">
        <v>710</v>
      </c>
      <c r="B740" s="9">
        <v>710</v>
      </c>
      <c r="C740" s="9" t="s">
        <v>9063</v>
      </c>
      <c r="D740" s="57" t="str">
        <f>HYPERLINK("http://prodenv.dep.state.fl.us/DepNexus/public/electronic-documents/OG_710/facility!search","OG_710_Docs")</f>
        <v>OG_710_Docs</v>
      </c>
      <c r="E740" s="57" t="str">
        <f>HYPERLINK("https://ca.dep.state.fl.us/mapdirect/?focus=oilandgas&amp;zoom=query&amp;querytype=oilandgas&amp;queryvalues=OG_710","OG_710_Map")</f>
        <v>OG_710_Map</v>
      </c>
      <c r="F740" s="1" t="s">
        <v>2831</v>
      </c>
      <c r="G740" s="1" t="s">
        <v>79</v>
      </c>
      <c r="H740" s="1" t="s">
        <v>7836</v>
      </c>
      <c r="I740" s="1" t="s">
        <v>9064</v>
      </c>
      <c r="J740" s="17" t="s">
        <v>82</v>
      </c>
      <c r="K740" s="17" t="s">
        <v>83</v>
      </c>
      <c r="L740" s="17"/>
      <c r="M740" s="17" t="s">
        <v>101</v>
      </c>
      <c r="N740" s="52" t="s">
        <v>9065</v>
      </c>
      <c r="O740" s="17" t="s">
        <v>86</v>
      </c>
      <c r="P740" s="17" t="s">
        <v>86</v>
      </c>
      <c r="Q740" s="81" t="s">
        <v>9066</v>
      </c>
      <c r="R740" s="11">
        <v>27.388276999999999</v>
      </c>
      <c r="S740" s="11">
        <v>-80.700196000000005</v>
      </c>
      <c r="T740" s="11" t="s">
        <v>9067</v>
      </c>
      <c r="U740" s="11" t="s">
        <v>9068</v>
      </c>
      <c r="V740" s="17" t="s">
        <v>9069</v>
      </c>
      <c r="W740" s="17" t="s">
        <v>110</v>
      </c>
      <c r="X740" s="70">
        <v>60</v>
      </c>
      <c r="Y740" s="70">
        <v>43</v>
      </c>
      <c r="Z740" s="13">
        <v>27002</v>
      </c>
      <c r="AA740" s="13">
        <v>27094</v>
      </c>
      <c r="AB740" s="13">
        <v>27169</v>
      </c>
      <c r="AC740" s="13">
        <v>27169</v>
      </c>
      <c r="AD740" s="86">
        <v>11300</v>
      </c>
      <c r="AE740" s="86">
        <v>11300</v>
      </c>
      <c r="AF740" s="70" t="s">
        <v>9070</v>
      </c>
      <c r="AG740" s="17" t="s">
        <v>9071</v>
      </c>
      <c r="AH740" s="17" t="s">
        <v>9072</v>
      </c>
      <c r="AI740" s="70" t="s">
        <v>9073</v>
      </c>
      <c r="AJ740" s="17" t="s">
        <v>94</v>
      </c>
      <c r="AK740" s="17" t="s">
        <v>95</v>
      </c>
      <c r="AL740" s="17" t="s">
        <v>86</v>
      </c>
      <c r="AM740" s="17" t="s">
        <v>94</v>
      </c>
      <c r="AN740" s="17" t="s">
        <v>9074</v>
      </c>
      <c r="AO740" s="17" t="s">
        <v>98</v>
      </c>
      <c r="AP740" s="17" t="s">
        <v>98</v>
      </c>
      <c r="AQ740" s="17" t="s">
        <v>98</v>
      </c>
      <c r="AR740" s="17" t="s">
        <v>94</v>
      </c>
      <c r="AS740" s="17" t="s">
        <v>9075</v>
      </c>
      <c r="AT740" s="17">
        <v>185</v>
      </c>
      <c r="AU740" s="30" t="s">
        <v>9076</v>
      </c>
      <c r="AV740" s="14">
        <v>12541</v>
      </c>
      <c r="AW740" s="74"/>
      <c r="AX740" s="1"/>
      <c r="AY740" s="17" t="s">
        <v>101</v>
      </c>
    </row>
    <row r="741" spans="1:51" ht="12.75" customHeight="1" x14ac:dyDescent="0.25">
      <c r="A741" s="5">
        <v>711</v>
      </c>
      <c r="B741" s="9">
        <v>711</v>
      </c>
      <c r="C741" s="9" t="s">
        <v>9077</v>
      </c>
      <c r="D741" s="57" t="str">
        <f>HYPERLINK("http://prodenv.dep.state.fl.us/DepNexus/public/electronic-documents/OG_711/facility!search","OG_711_Docs")</f>
        <v>OG_711_Docs</v>
      </c>
      <c r="E741" s="57" t="str">
        <f>HYPERLINK("https://ca.dep.state.fl.us/mapdirect/?focus=oilandgas&amp;zoom=query&amp;querytype=oilandgas&amp;queryvalues=OG_711","OG_711_Map")</f>
        <v>OG_711_Map</v>
      </c>
      <c r="F741" s="1" t="s">
        <v>1151</v>
      </c>
      <c r="G741" s="1" t="s">
        <v>79</v>
      </c>
      <c r="H741" s="1" t="s">
        <v>9078</v>
      </c>
      <c r="I741" s="1" t="s">
        <v>3573</v>
      </c>
      <c r="J741" s="17" t="s">
        <v>207</v>
      </c>
      <c r="K741" s="17" t="s">
        <v>208</v>
      </c>
      <c r="L741" s="17"/>
      <c r="M741" s="17" t="s">
        <v>207</v>
      </c>
      <c r="N741" s="52" t="s">
        <v>86</v>
      </c>
      <c r="O741" s="17" t="s">
        <v>86</v>
      </c>
      <c r="P741" s="17" t="s">
        <v>86</v>
      </c>
      <c r="Q741" s="81" t="s">
        <v>9079</v>
      </c>
      <c r="R741" s="11">
        <v>30.020672000000001</v>
      </c>
      <c r="S741" s="11">
        <v>-83.767967999999996</v>
      </c>
      <c r="T741" s="11" t="s">
        <v>9080</v>
      </c>
      <c r="U741" s="11" t="s">
        <v>9081</v>
      </c>
      <c r="V741" s="17" t="s">
        <v>9082</v>
      </c>
      <c r="W741" s="17" t="s">
        <v>110</v>
      </c>
      <c r="X741" s="70"/>
      <c r="Y741" s="70"/>
      <c r="Z741" s="13">
        <v>27002</v>
      </c>
      <c r="AA741" s="13"/>
      <c r="AB741" s="13"/>
      <c r="AC741" s="13"/>
      <c r="AD741" s="86"/>
      <c r="AE741" s="70"/>
      <c r="AF741" s="70" t="s">
        <v>207</v>
      </c>
      <c r="AG741" s="17" t="s">
        <v>207</v>
      </c>
      <c r="AH741" s="17" t="s">
        <v>207</v>
      </c>
      <c r="AI741" s="70" t="s">
        <v>207</v>
      </c>
      <c r="AJ741" s="17" t="s">
        <v>207</v>
      </c>
      <c r="AK741" s="17" t="s">
        <v>207</v>
      </c>
      <c r="AL741" s="17" t="s">
        <v>207</v>
      </c>
      <c r="AM741" s="17" t="s">
        <v>207</v>
      </c>
      <c r="AN741" s="17" t="s">
        <v>207</v>
      </c>
      <c r="AO741" s="17" t="s">
        <v>207</v>
      </c>
      <c r="AP741" s="17" t="s">
        <v>207</v>
      </c>
      <c r="AQ741" s="17" t="s">
        <v>207</v>
      </c>
      <c r="AR741" s="17" t="s">
        <v>207</v>
      </c>
      <c r="AS741" s="17" t="s">
        <v>207</v>
      </c>
      <c r="AT741" s="17" t="s">
        <v>207</v>
      </c>
      <c r="AU741" s="30" t="s">
        <v>9083</v>
      </c>
      <c r="AV741" s="14" t="s">
        <v>207</v>
      </c>
      <c r="AW741" s="74"/>
      <c r="AX741" s="1"/>
      <c r="AY741" s="17" t="s">
        <v>101</v>
      </c>
    </row>
    <row r="742" spans="1:51" ht="12.75" customHeight="1" x14ac:dyDescent="0.25">
      <c r="A742" s="5">
        <v>712</v>
      </c>
      <c r="B742" s="9">
        <v>712</v>
      </c>
      <c r="C742" s="9" t="s">
        <v>9084</v>
      </c>
      <c r="D742" s="57" t="str">
        <f>HYPERLINK("http://prodenv.dep.state.fl.us/DepNexus/public/electronic-documents/OG_712/facility!search","OG_712_Docs")</f>
        <v>OG_712_Docs</v>
      </c>
      <c r="E742" s="57" t="str">
        <f>HYPERLINK("https://ca.dep.state.fl.us/mapdirect/?focus=oilandgas&amp;zoom=query&amp;querytype=oilandgas&amp;queryvalues=OG_712","OG_712_Map")</f>
        <v>OG_712_Map</v>
      </c>
      <c r="F742" s="1" t="s">
        <v>2026</v>
      </c>
      <c r="G742" s="1" t="s">
        <v>9085</v>
      </c>
      <c r="H742" s="1" t="s">
        <v>8261</v>
      </c>
      <c r="I742" s="1" t="s">
        <v>9086</v>
      </c>
      <c r="J742" s="17" t="s">
        <v>268</v>
      </c>
      <c r="K742" s="17" t="s">
        <v>412</v>
      </c>
      <c r="L742" s="17"/>
      <c r="M742" s="17" t="s">
        <v>101</v>
      </c>
      <c r="N742" s="52" t="s">
        <v>9087</v>
      </c>
      <c r="O742" s="17" t="s">
        <v>86</v>
      </c>
      <c r="P742" s="17" t="s">
        <v>86</v>
      </c>
      <c r="Q742" s="81" t="s">
        <v>9088</v>
      </c>
      <c r="R742" s="11">
        <v>26.631136999999999</v>
      </c>
      <c r="S742" s="11">
        <v>-81.699499000000003</v>
      </c>
      <c r="T742" s="11" t="s">
        <v>9089</v>
      </c>
      <c r="U742" s="11" t="s">
        <v>9090</v>
      </c>
      <c r="V742" s="17" t="s">
        <v>9091</v>
      </c>
      <c r="W742" s="17" t="s">
        <v>110</v>
      </c>
      <c r="X742" s="70">
        <v>38.200000000000003</v>
      </c>
      <c r="Y742" s="70">
        <v>22.4</v>
      </c>
      <c r="Z742" s="13">
        <v>27016</v>
      </c>
      <c r="AA742" s="13">
        <v>27112</v>
      </c>
      <c r="AB742" s="13"/>
      <c r="AC742" s="13">
        <v>27240</v>
      </c>
      <c r="AD742" s="86">
        <v>11630</v>
      </c>
      <c r="AE742" s="86">
        <v>11630</v>
      </c>
      <c r="AF742" s="70" t="s">
        <v>8732</v>
      </c>
      <c r="AG742" s="17" t="s">
        <v>5897</v>
      </c>
      <c r="AH742" s="17" t="s">
        <v>9092</v>
      </c>
      <c r="AI742" s="70" t="s">
        <v>9093</v>
      </c>
      <c r="AJ742" s="17" t="s">
        <v>9094</v>
      </c>
      <c r="AK742" s="17" t="s">
        <v>95</v>
      </c>
      <c r="AL742" s="17" t="s">
        <v>9095</v>
      </c>
      <c r="AM742" s="17" t="s">
        <v>95</v>
      </c>
      <c r="AN742" s="17" t="s">
        <v>94</v>
      </c>
      <c r="AO742" s="17" t="s">
        <v>9096</v>
      </c>
      <c r="AP742" s="17" t="s">
        <v>9097</v>
      </c>
      <c r="AQ742" s="17" t="s">
        <v>9098</v>
      </c>
      <c r="AR742" s="17" t="s">
        <v>9099</v>
      </c>
      <c r="AS742" s="17" t="s">
        <v>9100</v>
      </c>
      <c r="AT742" s="17">
        <v>200</v>
      </c>
      <c r="AU742" s="30" t="s">
        <v>9101</v>
      </c>
      <c r="AV742" s="14">
        <v>12378</v>
      </c>
      <c r="AW742" s="74"/>
      <c r="AX742" s="39" t="s">
        <v>9102</v>
      </c>
      <c r="AY742" s="17" t="s">
        <v>101</v>
      </c>
    </row>
    <row r="743" spans="1:51" ht="12.75" customHeight="1" x14ac:dyDescent="0.25">
      <c r="A743" s="5">
        <v>712.1</v>
      </c>
      <c r="B743" s="9" t="s">
        <v>9103</v>
      </c>
      <c r="C743" s="9" t="s">
        <v>9084</v>
      </c>
      <c r="D743" s="57" t="str">
        <f>HYPERLINK("http://prodenv.dep.state.fl.us/DepNexus/public/electronic-documents/OG_712/facility!search","OG_712_Docs")</f>
        <v>OG_712_Docs</v>
      </c>
      <c r="E743" s="57" t="str">
        <f>HYPERLINK("https://ca.dep.state.fl.us/mapdirect/?focus=oilandgas&amp;zoom=query&amp;querytype=oilandgas&amp;queryvalues=OG_712","OG_712_Map")</f>
        <v>OG_712_Map</v>
      </c>
      <c r="F743" s="1" t="s">
        <v>2026</v>
      </c>
      <c r="G743" s="1" t="s">
        <v>9085</v>
      </c>
      <c r="H743" s="1" t="s">
        <v>8261</v>
      </c>
      <c r="I743" s="1" t="s">
        <v>9104</v>
      </c>
      <c r="J743" s="17" t="s">
        <v>268</v>
      </c>
      <c r="K743" s="17" t="s">
        <v>412</v>
      </c>
      <c r="L743" s="17"/>
      <c r="M743" s="17"/>
      <c r="N743" s="52" t="s">
        <v>4735</v>
      </c>
      <c r="O743" s="17" t="s">
        <v>86</v>
      </c>
      <c r="P743" s="17" t="s">
        <v>86</v>
      </c>
      <c r="Q743" s="81" t="s">
        <v>9088</v>
      </c>
      <c r="R743" s="11">
        <v>26.631136999999999</v>
      </c>
      <c r="S743" s="11">
        <v>-81.699499000000003</v>
      </c>
      <c r="T743" s="11" t="s">
        <v>9089</v>
      </c>
      <c r="U743" s="11" t="s">
        <v>9090</v>
      </c>
      <c r="V743" s="17" t="s">
        <v>9091</v>
      </c>
      <c r="W743" s="17" t="s">
        <v>9105</v>
      </c>
      <c r="X743" s="70">
        <v>39.4</v>
      </c>
      <c r="Y743" s="70">
        <v>22.9</v>
      </c>
      <c r="Z743" s="13">
        <v>29180</v>
      </c>
      <c r="AA743" s="13">
        <v>29303</v>
      </c>
      <c r="AB743" s="13"/>
      <c r="AC743" s="13">
        <v>31462</v>
      </c>
      <c r="AD743" s="86">
        <v>11397</v>
      </c>
      <c r="AE743" s="86">
        <v>11598</v>
      </c>
      <c r="AF743" s="70" t="s">
        <v>8732</v>
      </c>
      <c r="AG743" s="17" t="s">
        <v>5897</v>
      </c>
      <c r="AH743" s="17" t="s">
        <v>9092</v>
      </c>
      <c r="AI743" s="70" t="s">
        <v>9106</v>
      </c>
      <c r="AJ743" s="17" t="s">
        <v>5240</v>
      </c>
      <c r="AK743" s="17" t="s">
        <v>95</v>
      </c>
      <c r="AL743" s="17" t="s">
        <v>94</v>
      </c>
      <c r="AM743" s="17" t="s">
        <v>95</v>
      </c>
      <c r="AN743" s="17" t="s">
        <v>94</v>
      </c>
      <c r="AO743" s="17" t="s">
        <v>9107</v>
      </c>
      <c r="AP743" s="17" t="s">
        <v>5061</v>
      </c>
      <c r="AQ743" s="17" t="s">
        <v>9108</v>
      </c>
      <c r="AR743" s="17" t="s">
        <v>9109</v>
      </c>
      <c r="AS743" s="17" t="s">
        <v>9110</v>
      </c>
      <c r="AT743" s="17"/>
      <c r="AU743" s="30" t="s">
        <v>9111</v>
      </c>
      <c r="AV743" s="14" t="s">
        <v>94</v>
      </c>
      <c r="AW743" s="74"/>
      <c r="AX743" s="1"/>
      <c r="AY743" s="17" t="s">
        <v>101</v>
      </c>
    </row>
    <row r="744" spans="1:51" ht="15" customHeight="1" x14ac:dyDescent="0.25">
      <c r="A744" s="5">
        <v>713</v>
      </c>
      <c r="B744" s="9">
        <v>713</v>
      </c>
      <c r="C744" s="9" t="s">
        <v>9112</v>
      </c>
      <c r="D744" s="57" t="str">
        <f>HYPERLINK("http://prodenv.dep.state.fl.us/DepNexus/public/electronic-documents/OG_713/facility!search","OG_713_Docs")</f>
        <v>OG_713_Docs</v>
      </c>
      <c r="E744" s="57" t="str">
        <f>HYPERLINK("https://ca.dep.state.fl.us/mapdirect/?focus=oilandgas&amp;zoom=query&amp;querytype=oilandgas&amp;queryvalues=OG_713","OG_713_Map")</f>
        <v>OG_713_Map</v>
      </c>
      <c r="F744" s="1" t="s">
        <v>265</v>
      </c>
      <c r="G744" s="1" t="s">
        <v>79</v>
      </c>
      <c r="H744" s="1" t="s">
        <v>7255</v>
      </c>
      <c r="I744" s="1" t="s">
        <v>9113</v>
      </c>
      <c r="J744" s="17" t="s">
        <v>82</v>
      </c>
      <c r="K744" s="17" t="s">
        <v>83</v>
      </c>
      <c r="L744" s="17"/>
      <c r="M744" s="17"/>
      <c r="N744" s="52" t="s">
        <v>6529</v>
      </c>
      <c r="O744" s="17" t="s">
        <v>270</v>
      </c>
      <c r="P744" s="17" t="s">
        <v>3395</v>
      </c>
      <c r="Q744" s="81" t="s">
        <v>9114</v>
      </c>
      <c r="R744" s="11">
        <v>26.182794999999999</v>
      </c>
      <c r="S744" s="11">
        <v>-81.247493000000006</v>
      </c>
      <c r="T744" s="11" t="s">
        <v>9115</v>
      </c>
      <c r="U744" s="11" t="s">
        <v>9116</v>
      </c>
      <c r="V744" s="17" t="s">
        <v>9117</v>
      </c>
      <c r="W744" s="17" t="s">
        <v>110</v>
      </c>
      <c r="X744" s="70">
        <v>33.25</v>
      </c>
      <c r="Y744" s="70">
        <v>16.8</v>
      </c>
      <c r="Z744" s="13">
        <v>27016</v>
      </c>
      <c r="AA744" s="13">
        <v>27278</v>
      </c>
      <c r="AB744" s="13"/>
      <c r="AC744" s="13">
        <v>27507</v>
      </c>
      <c r="AD744" s="86">
        <v>11907</v>
      </c>
      <c r="AE744" s="86">
        <v>11907</v>
      </c>
      <c r="AF744" s="70" t="s">
        <v>6793</v>
      </c>
      <c r="AG744" s="17" t="s">
        <v>8145</v>
      </c>
      <c r="AH744" s="17" t="s">
        <v>9118</v>
      </c>
      <c r="AI744" s="70" t="s">
        <v>9119</v>
      </c>
      <c r="AJ744" s="17" t="s">
        <v>94</v>
      </c>
      <c r="AK744" s="17" t="s">
        <v>95</v>
      </c>
      <c r="AL744" s="17"/>
      <c r="AM744" s="17" t="s">
        <v>95</v>
      </c>
      <c r="AN744" s="17" t="s">
        <v>9120</v>
      </c>
      <c r="AO744" s="17" t="s">
        <v>9121</v>
      </c>
      <c r="AP744" s="17" t="s">
        <v>5061</v>
      </c>
      <c r="AQ744" s="17" t="s">
        <v>9122</v>
      </c>
      <c r="AR744" s="17" t="s">
        <v>9123</v>
      </c>
      <c r="AS744" s="17" t="s">
        <v>9124</v>
      </c>
      <c r="AT744" s="17">
        <v>197</v>
      </c>
      <c r="AU744" s="30" t="s">
        <v>9125</v>
      </c>
      <c r="AV744" s="14">
        <v>12526</v>
      </c>
      <c r="AW744" s="74"/>
      <c r="AX744" s="1"/>
      <c r="AY744" s="17" t="s">
        <v>101</v>
      </c>
    </row>
    <row r="745" spans="1:51" ht="15" customHeight="1" x14ac:dyDescent="0.25">
      <c r="A745" s="5">
        <v>713.1</v>
      </c>
      <c r="B745" s="9" t="s">
        <v>9126</v>
      </c>
      <c r="C745" s="9" t="s">
        <v>9112</v>
      </c>
      <c r="D745" s="57" t="str">
        <f>HYPERLINK("http://prodenv.dep.state.fl.us/DepNexus/public/electronic-documents/OG_713/facility!search","OG_713_Docs")</f>
        <v>OG_713_Docs</v>
      </c>
      <c r="E745" s="57" t="str">
        <f>HYPERLINK("https://ca.dep.state.fl.us/mapdirect/?focus=oilandgas&amp;zoom=query&amp;querytype=oilandgas&amp;queryvalues=OG_713","OG_713_Map")</f>
        <v>OG_713_Map</v>
      </c>
      <c r="F745" s="1" t="s">
        <v>265</v>
      </c>
      <c r="G745" s="1" t="s">
        <v>79</v>
      </c>
      <c r="H745" s="1" t="s">
        <v>9127</v>
      </c>
      <c r="I745" s="1" t="s">
        <v>9128</v>
      </c>
      <c r="J745" s="17" t="s">
        <v>82</v>
      </c>
      <c r="K745" s="17" t="s">
        <v>83</v>
      </c>
      <c r="L745" s="17"/>
      <c r="M745" s="17"/>
      <c r="N745" s="52" t="s">
        <v>9129</v>
      </c>
      <c r="O745" s="17" t="s">
        <v>270</v>
      </c>
      <c r="P745" s="17" t="s">
        <v>3395</v>
      </c>
      <c r="Q745" s="81" t="s">
        <v>9114</v>
      </c>
      <c r="R745" s="11">
        <v>26.182794999999999</v>
      </c>
      <c r="S745" s="11">
        <v>-81.247493000000006</v>
      </c>
      <c r="T745" s="11" t="s">
        <v>9115</v>
      </c>
      <c r="U745" s="11" t="s">
        <v>9116</v>
      </c>
      <c r="V745" s="17" t="s">
        <v>9117</v>
      </c>
      <c r="W745" s="17" t="s">
        <v>9130</v>
      </c>
      <c r="X745" s="70">
        <v>33.25</v>
      </c>
      <c r="Y745" s="70">
        <v>16.8</v>
      </c>
      <c r="Z745" s="13">
        <v>27830</v>
      </c>
      <c r="AA745" s="13">
        <v>27844</v>
      </c>
      <c r="AB745" s="13"/>
      <c r="AC745" s="13">
        <v>27977</v>
      </c>
      <c r="AD745" s="86"/>
      <c r="AE745" s="86">
        <v>11647</v>
      </c>
      <c r="AF745" s="70" t="s">
        <v>5162</v>
      </c>
      <c r="AG745" s="17" t="s">
        <v>7297</v>
      </c>
      <c r="AH745" s="17" t="s">
        <v>9131</v>
      </c>
      <c r="AI745" s="70" t="s">
        <v>9132</v>
      </c>
      <c r="AJ745" s="17" t="s">
        <v>9133</v>
      </c>
      <c r="AK745" s="17" t="s">
        <v>94</v>
      </c>
      <c r="AL745" s="17" t="s">
        <v>94</v>
      </c>
      <c r="AM745" s="17" t="s">
        <v>95</v>
      </c>
      <c r="AN745" s="17" t="s">
        <v>94</v>
      </c>
      <c r="AO745" s="17" t="s">
        <v>7931</v>
      </c>
      <c r="AP745" s="17" t="s">
        <v>5061</v>
      </c>
      <c r="AQ745" s="17" t="s">
        <v>9134</v>
      </c>
      <c r="AR745" s="17" t="s">
        <v>9135</v>
      </c>
      <c r="AS745" s="17" t="s">
        <v>9136</v>
      </c>
      <c r="AT745" s="17"/>
      <c r="AU745" s="30" t="s">
        <v>9137</v>
      </c>
      <c r="AV745" s="14">
        <v>13076</v>
      </c>
      <c r="AW745" s="74"/>
      <c r="AX745" s="1"/>
      <c r="AY745" s="17" t="s">
        <v>101</v>
      </c>
    </row>
    <row r="746" spans="1:51" ht="12.75" customHeight="1" x14ac:dyDescent="0.25">
      <c r="A746" s="5">
        <v>714</v>
      </c>
      <c r="B746" s="9">
        <v>714</v>
      </c>
      <c r="C746" s="9" t="s">
        <v>9138</v>
      </c>
      <c r="D746" s="57" t="str">
        <f>HYPERLINK("http://prodenv.dep.state.fl.us/DepNexus/public/electronic-documents/OG_714/facility!search","OG_714_Docs")</f>
        <v>OG_714_Docs</v>
      </c>
      <c r="E746" s="57" t="str">
        <f>HYPERLINK("https://ca.dep.state.fl.us/mapdirect/?focus=oilandgas&amp;zoom=query&amp;querytype=oilandgas&amp;queryvalues=OG_714","OG_714_Map")</f>
        <v>OG_714_Map</v>
      </c>
      <c r="F746" s="1" t="s">
        <v>2026</v>
      </c>
      <c r="G746" s="1" t="s">
        <v>4496</v>
      </c>
      <c r="H746" s="1" t="s">
        <v>8261</v>
      </c>
      <c r="I746" s="1" t="s">
        <v>9139</v>
      </c>
      <c r="J746" s="17" t="s">
        <v>268</v>
      </c>
      <c r="K746" s="17" t="s">
        <v>412</v>
      </c>
      <c r="L746" s="17"/>
      <c r="M746" s="17"/>
      <c r="N746" s="52" t="s">
        <v>9140</v>
      </c>
      <c r="O746" s="17" t="s">
        <v>86</v>
      </c>
      <c r="P746" s="17" t="s">
        <v>86</v>
      </c>
      <c r="Q746" s="81" t="s">
        <v>9141</v>
      </c>
      <c r="R746" s="11">
        <v>26.555789000000001</v>
      </c>
      <c r="S746" s="11">
        <v>-81.581594999999993</v>
      </c>
      <c r="T746" s="11" t="s">
        <v>9142</v>
      </c>
      <c r="U746" s="11" t="s">
        <v>9143</v>
      </c>
      <c r="V746" s="17" t="s">
        <v>9144</v>
      </c>
      <c r="W746" s="17" t="s">
        <v>9145</v>
      </c>
      <c r="X746" s="70">
        <v>46.8</v>
      </c>
      <c r="Y746" s="70">
        <v>30.6</v>
      </c>
      <c r="Z746" s="13">
        <v>27032</v>
      </c>
      <c r="AA746" s="13">
        <v>27421</v>
      </c>
      <c r="AB746" s="13">
        <v>27500</v>
      </c>
      <c r="AC746" s="13">
        <v>32411</v>
      </c>
      <c r="AD746" s="86">
        <v>11474</v>
      </c>
      <c r="AE746" s="86">
        <v>12128</v>
      </c>
      <c r="AF746" s="70" t="s">
        <v>9146</v>
      </c>
      <c r="AG746" s="17" t="s">
        <v>9147</v>
      </c>
      <c r="AH746" s="17" t="s">
        <v>4600</v>
      </c>
      <c r="AI746" s="70" t="s">
        <v>9148</v>
      </c>
      <c r="AJ746" s="17" t="s">
        <v>9149</v>
      </c>
      <c r="AK746" s="17" t="s">
        <v>95</v>
      </c>
      <c r="AL746" s="17" t="s">
        <v>94</v>
      </c>
      <c r="AM746" s="17" t="s">
        <v>94</v>
      </c>
      <c r="AN746" s="17" t="s">
        <v>94</v>
      </c>
      <c r="AO746" s="17" t="s">
        <v>9150</v>
      </c>
      <c r="AP746" s="17">
        <v>0</v>
      </c>
      <c r="AQ746" s="17" t="s">
        <v>4988</v>
      </c>
      <c r="AR746" s="17" t="s">
        <v>9151</v>
      </c>
      <c r="AS746" s="17" t="s">
        <v>9152</v>
      </c>
      <c r="AT746" s="17">
        <v>194</v>
      </c>
      <c r="AU746" s="30" t="s">
        <v>9153</v>
      </c>
      <c r="AV746" s="14" t="s">
        <v>94</v>
      </c>
      <c r="AW746" s="74"/>
      <c r="AX746" s="1"/>
      <c r="AY746" s="17" t="s">
        <v>101</v>
      </c>
    </row>
    <row r="747" spans="1:51" ht="12.75" customHeight="1" x14ac:dyDescent="0.25">
      <c r="A747" s="5">
        <v>715</v>
      </c>
      <c r="B747" s="9">
        <v>715</v>
      </c>
      <c r="C747" s="9" t="s">
        <v>9154</v>
      </c>
      <c r="D747" s="57" t="str">
        <f>HYPERLINK("http://prodenv.dep.state.fl.us/DepNexus/public/electronic-documents/OG_715/facility!search","OG_715_Docs")</f>
        <v>OG_715_Docs</v>
      </c>
      <c r="E747" s="57" t="str">
        <f>HYPERLINK("https://ca.dep.state.fl.us/mapdirect/?focus=oilandgas&amp;zoom=query&amp;querytype=oilandgas&amp;queryvalues=OG_715","OG_715_Map")</f>
        <v>OG_715_Map</v>
      </c>
      <c r="F747" s="1" t="s">
        <v>2026</v>
      </c>
      <c r="G747" s="1" t="s">
        <v>4496</v>
      </c>
      <c r="H747" s="1" t="s">
        <v>8261</v>
      </c>
      <c r="I747" s="1" t="s">
        <v>9155</v>
      </c>
      <c r="J747" s="17" t="s">
        <v>268</v>
      </c>
      <c r="K747" s="17" t="s">
        <v>412</v>
      </c>
      <c r="L747" s="17"/>
      <c r="M747" s="17"/>
      <c r="N747" s="52" t="s">
        <v>3956</v>
      </c>
      <c r="O747" s="17" t="s">
        <v>86</v>
      </c>
      <c r="P747" s="17" t="s">
        <v>86</v>
      </c>
      <c r="Q747" s="81" t="s">
        <v>9156</v>
      </c>
      <c r="R747" s="11">
        <v>26.555499000000001</v>
      </c>
      <c r="S747" s="11">
        <v>-81.581587999999996</v>
      </c>
      <c r="T747" s="11" t="s">
        <v>9157</v>
      </c>
      <c r="U747" s="11" t="s">
        <v>9158</v>
      </c>
      <c r="V747" s="17" t="s">
        <v>9159</v>
      </c>
      <c r="W747" s="17" t="s">
        <v>9160</v>
      </c>
      <c r="X747" s="70">
        <v>45.1</v>
      </c>
      <c r="Y747" s="70">
        <v>30.1</v>
      </c>
      <c r="Z747" s="13">
        <v>27032</v>
      </c>
      <c r="AA747" s="13">
        <v>27050</v>
      </c>
      <c r="AB747" s="13">
        <v>27169</v>
      </c>
      <c r="AC747" s="13">
        <v>32440</v>
      </c>
      <c r="AD747" s="86">
        <v>11592</v>
      </c>
      <c r="AE747" s="86">
        <v>11927</v>
      </c>
      <c r="AF747" s="70" t="s">
        <v>9161</v>
      </c>
      <c r="AG747" s="17" t="s">
        <v>9162</v>
      </c>
      <c r="AH747" s="17" t="s">
        <v>9092</v>
      </c>
      <c r="AI747" s="70" t="s">
        <v>9163</v>
      </c>
      <c r="AJ747" s="17" t="s">
        <v>9164</v>
      </c>
      <c r="AK747" s="17" t="s">
        <v>825</v>
      </c>
      <c r="AL747" s="17" t="s">
        <v>9165</v>
      </c>
      <c r="AM747" s="17" t="s">
        <v>94</v>
      </c>
      <c r="AN747" s="17" t="s">
        <v>94</v>
      </c>
      <c r="AO747" s="17" t="s">
        <v>9166</v>
      </c>
      <c r="AP747" s="17">
        <v>0</v>
      </c>
      <c r="AQ747" s="17" t="s">
        <v>9167</v>
      </c>
      <c r="AR747" s="17" t="s">
        <v>9168</v>
      </c>
      <c r="AS747" s="17" t="s">
        <v>9169</v>
      </c>
      <c r="AT747" s="17"/>
      <c r="AU747" s="30" t="s">
        <v>9170</v>
      </c>
      <c r="AV747" s="14">
        <v>12230</v>
      </c>
      <c r="AW747" s="74"/>
      <c r="AX747" s="1"/>
      <c r="AY747" s="17" t="s">
        <v>101</v>
      </c>
    </row>
    <row r="748" spans="1:51" ht="15" customHeight="1" x14ac:dyDescent="0.25">
      <c r="A748" s="5">
        <v>716</v>
      </c>
      <c r="B748" s="9">
        <v>716</v>
      </c>
      <c r="C748" s="9" t="s">
        <v>9171</v>
      </c>
      <c r="D748" s="57" t="str">
        <f>HYPERLINK("http://prodenv.dep.state.fl.us/DepNexus/public/electronic-documents/OG_716/facility!search","OG_716_Docs")</f>
        <v>OG_716_Docs</v>
      </c>
      <c r="E748" s="57" t="str">
        <f>HYPERLINK("https://ca.dep.state.fl.us/mapdirect/?focus=oilandgas&amp;zoom=query&amp;querytype=oilandgas&amp;queryvalues=OG_716","OG_716_Map")</f>
        <v>OG_716_Map</v>
      </c>
      <c r="F748" s="1" t="s">
        <v>841</v>
      </c>
      <c r="G748" s="1" t="s">
        <v>79</v>
      </c>
      <c r="H748" s="1" t="s">
        <v>7593</v>
      </c>
      <c r="I748" s="1" t="s">
        <v>9172</v>
      </c>
      <c r="J748" s="17" t="s">
        <v>82</v>
      </c>
      <c r="K748" s="17" t="s">
        <v>83</v>
      </c>
      <c r="L748" s="17"/>
      <c r="M748" s="17"/>
      <c r="N748" s="52" t="s">
        <v>6529</v>
      </c>
      <c r="O748" s="17" t="s">
        <v>86</v>
      </c>
      <c r="P748" s="17" t="s">
        <v>86</v>
      </c>
      <c r="Q748" s="81" t="s">
        <v>9173</v>
      </c>
      <c r="R748" s="11">
        <v>30.707360999999999</v>
      </c>
      <c r="S748" s="11">
        <v>-85.957431999999997</v>
      </c>
      <c r="T748" s="11" t="s">
        <v>9174</v>
      </c>
      <c r="U748" s="11" t="s">
        <v>9175</v>
      </c>
      <c r="V748" s="17" t="s">
        <v>9176</v>
      </c>
      <c r="W748" s="17" t="s">
        <v>110</v>
      </c>
      <c r="X748" s="70">
        <v>140.02000000000001</v>
      </c>
      <c r="Y748" s="70">
        <v>117.02</v>
      </c>
      <c r="Z748" s="13">
        <v>27032</v>
      </c>
      <c r="AA748" s="13">
        <v>27051</v>
      </c>
      <c r="AB748" s="13"/>
      <c r="AC748" s="13">
        <v>27097</v>
      </c>
      <c r="AD748" s="86">
        <v>11201</v>
      </c>
      <c r="AE748" s="86">
        <v>11201</v>
      </c>
      <c r="AF748" s="70" t="s">
        <v>9177</v>
      </c>
      <c r="AG748" s="17" t="s">
        <v>9178</v>
      </c>
      <c r="AH748" s="17" t="s">
        <v>94</v>
      </c>
      <c r="AI748" s="70" t="s">
        <v>94</v>
      </c>
      <c r="AJ748" s="17" t="s">
        <v>94</v>
      </c>
      <c r="AK748" s="17" t="s">
        <v>95</v>
      </c>
      <c r="AL748" s="17" t="s">
        <v>94</v>
      </c>
      <c r="AM748" s="17" t="s">
        <v>95</v>
      </c>
      <c r="AN748" s="17" t="s">
        <v>94</v>
      </c>
      <c r="AO748" s="17" t="s">
        <v>98</v>
      </c>
      <c r="AP748" s="17" t="s">
        <v>98</v>
      </c>
      <c r="AQ748" s="17" t="s">
        <v>98</v>
      </c>
      <c r="AR748" s="17" t="s">
        <v>94</v>
      </c>
      <c r="AS748" s="17" t="s">
        <v>9179</v>
      </c>
      <c r="AT748" s="17"/>
      <c r="AU748" s="30" t="s">
        <v>9180</v>
      </c>
      <c r="AV748" s="14">
        <v>12199</v>
      </c>
      <c r="AW748" s="74"/>
      <c r="AX748" s="1"/>
      <c r="AY748" s="17" t="s">
        <v>101</v>
      </c>
    </row>
    <row r="749" spans="1:51" ht="15" customHeight="1" x14ac:dyDescent="0.25">
      <c r="A749" s="5">
        <v>717</v>
      </c>
      <c r="B749" s="9">
        <v>717</v>
      </c>
      <c r="C749" s="9" t="s">
        <v>9181</v>
      </c>
      <c r="D749" s="57" t="str">
        <f>HYPERLINK("http://prodenv.dep.state.fl.us/DepNexus/public/electronic-documents/OG_717/facility!search","OG_717_Docs")</f>
        <v>OG_717_Docs</v>
      </c>
      <c r="E749" s="57" t="str">
        <f>HYPERLINK("https://ca.dep.state.fl.us/mapdirect/?focus=oilandgas&amp;zoom=query&amp;querytype=oilandgas&amp;queryvalues=OG_717","OG_717_Map")</f>
        <v>OG_717_Map</v>
      </c>
      <c r="F749" s="1" t="s">
        <v>9182</v>
      </c>
      <c r="G749" s="1" t="s">
        <v>79</v>
      </c>
      <c r="H749" s="1" t="s">
        <v>6324</v>
      </c>
      <c r="I749" s="1" t="s">
        <v>9183</v>
      </c>
      <c r="J749" s="17" t="s">
        <v>82</v>
      </c>
      <c r="K749" s="17" t="s">
        <v>83</v>
      </c>
      <c r="L749" s="17"/>
      <c r="M749" s="17" t="s">
        <v>101</v>
      </c>
      <c r="N749" s="52" t="s">
        <v>9184</v>
      </c>
      <c r="O749" s="17" t="s">
        <v>86</v>
      </c>
      <c r="P749" s="17" t="s">
        <v>86</v>
      </c>
      <c r="Q749" s="81" t="s">
        <v>9185</v>
      </c>
      <c r="R749" s="11">
        <v>30.313486999999999</v>
      </c>
      <c r="S749" s="11">
        <v>-84.196825000000004</v>
      </c>
      <c r="T749" s="11" t="s">
        <v>9186</v>
      </c>
      <c r="U749" s="11" t="s">
        <v>9187</v>
      </c>
      <c r="V749" s="17" t="s">
        <v>9188</v>
      </c>
      <c r="W749" s="17" t="s">
        <v>110</v>
      </c>
      <c r="X749" s="70">
        <v>33</v>
      </c>
      <c r="Y749" s="70">
        <v>17</v>
      </c>
      <c r="Z749" s="13">
        <v>27032</v>
      </c>
      <c r="AA749" s="13">
        <v>27111</v>
      </c>
      <c r="AB749" s="13">
        <v>27164</v>
      </c>
      <c r="AC749" s="13">
        <v>27168</v>
      </c>
      <c r="AD749" s="86">
        <v>10466</v>
      </c>
      <c r="AE749" s="86">
        <v>10466</v>
      </c>
      <c r="AF749" s="70" t="s">
        <v>9189</v>
      </c>
      <c r="AG749" s="17" t="s">
        <v>9190</v>
      </c>
      <c r="AH749" s="17" t="s">
        <v>94</v>
      </c>
      <c r="AI749" s="70" t="s">
        <v>94</v>
      </c>
      <c r="AJ749" s="17" t="s">
        <v>94</v>
      </c>
      <c r="AK749" s="17" t="s">
        <v>95</v>
      </c>
      <c r="AL749" s="17" t="s">
        <v>86</v>
      </c>
      <c r="AM749" s="17" t="s">
        <v>94</v>
      </c>
      <c r="AN749" s="17" t="s">
        <v>94</v>
      </c>
      <c r="AO749" s="17" t="s">
        <v>98</v>
      </c>
      <c r="AP749" s="17" t="s">
        <v>98</v>
      </c>
      <c r="AQ749" s="17" t="s">
        <v>98</v>
      </c>
      <c r="AR749" s="17" t="s">
        <v>94</v>
      </c>
      <c r="AS749" s="17" t="s">
        <v>9191</v>
      </c>
      <c r="AT749" s="17">
        <v>207</v>
      </c>
      <c r="AU749" s="30" t="s">
        <v>9192</v>
      </c>
      <c r="AV749" s="14">
        <v>12293</v>
      </c>
      <c r="AW749" s="74"/>
      <c r="AX749" s="1"/>
      <c r="AY749" s="17" t="s">
        <v>101</v>
      </c>
    </row>
    <row r="750" spans="1:51" ht="12.75" customHeight="1" x14ac:dyDescent="0.25">
      <c r="A750" s="5">
        <v>718</v>
      </c>
      <c r="B750" s="9">
        <v>718</v>
      </c>
      <c r="C750" s="9" t="s">
        <v>9193</v>
      </c>
      <c r="D750" s="57" t="str">
        <f>HYPERLINK("http://prodenv.dep.state.fl.us/DepNexus/public/electronic-documents/OG_718/facility!search","OG_718_Docs")</f>
        <v>OG_718_Docs</v>
      </c>
      <c r="E750" s="57" t="str">
        <f>HYPERLINK("https://ca.dep.state.fl.us/mapdirect/?focus=oilandgas&amp;zoom=query&amp;querytype=oilandgas&amp;queryvalues=OG_718","OG_718_Map")</f>
        <v>OG_718_Map</v>
      </c>
      <c r="F750" s="1" t="s">
        <v>1797</v>
      </c>
      <c r="G750" s="1" t="s">
        <v>79</v>
      </c>
      <c r="H750" s="1" t="s">
        <v>8261</v>
      </c>
      <c r="I750" s="1" t="s">
        <v>9194</v>
      </c>
      <c r="J750" s="17" t="s">
        <v>82</v>
      </c>
      <c r="K750" s="17" t="s">
        <v>83</v>
      </c>
      <c r="L750" s="17"/>
      <c r="M750" s="17"/>
      <c r="N750" s="52" t="s">
        <v>6529</v>
      </c>
      <c r="O750" s="17" t="s">
        <v>86</v>
      </c>
      <c r="P750" s="17" t="s">
        <v>86</v>
      </c>
      <c r="Q750" s="81" t="s">
        <v>9195</v>
      </c>
      <c r="R750" s="11">
        <v>30.9344</v>
      </c>
      <c r="S750" s="11">
        <v>-87.102099999999993</v>
      </c>
      <c r="T750" s="11" t="s">
        <v>9196</v>
      </c>
      <c r="U750" s="11" t="s">
        <v>9197</v>
      </c>
      <c r="V750" s="17" t="s">
        <v>9198</v>
      </c>
      <c r="W750" s="17" t="s">
        <v>110</v>
      </c>
      <c r="X750" s="70">
        <v>179.7</v>
      </c>
      <c r="Y750" s="70">
        <v>160</v>
      </c>
      <c r="Z750" s="13">
        <v>27044</v>
      </c>
      <c r="AA750" s="13">
        <v>27083</v>
      </c>
      <c r="AB750" s="13"/>
      <c r="AC750" s="13">
        <v>27152</v>
      </c>
      <c r="AD750" s="86">
        <v>15470</v>
      </c>
      <c r="AE750" s="86">
        <v>15470</v>
      </c>
      <c r="AF750" s="70" t="s">
        <v>988</v>
      </c>
      <c r="AG750" s="17" t="s">
        <v>9199</v>
      </c>
      <c r="AH750" s="17" t="s">
        <v>94</v>
      </c>
      <c r="AI750" s="70" t="s">
        <v>94</v>
      </c>
      <c r="AJ750" s="17" t="s">
        <v>94</v>
      </c>
      <c r="AK750" s="17" t="s">
        <v>95</v>
      </c>
      <c r="AL750" s="17" t="s">
        <v>9200</v>
      </c>
      <c r="AM750" s="17" t="s">
        <v>94</v>
      </c>
      <c r="AN750" s="17" t="s">
        <v>94</v>
      </c>
      <c r="AO750" s="17" t="s">
        <v>98</v>
      </c>
      <c r="AP750" s="17" t="s">
        <v>98</v>
      </c>
      <c r="AQ750" s="17" t="s">
        <v>98</v>
      </c>
      <c r="AR750" s="17" t="s">
        <v>94</v>
      </c>
      <c r="AS750" s="17" t="s">
        <v>9201</v>
      </c>
      <c r="AT750" s="17"/>
      <c r="AU750" s="30" t="s">
        <v>9202</v>
      </c>
      <c r="AV750" s="14">
        <v>12260</v>
      </c>
      <c r="AW750" s="74"/>
      <c r="AX750" s="1" t="s">
        <v>9203</v>
      </c>
      <c r="AY750" s="17" t="s">
        <v>101</v>
      </c>
    </row>
    <row r="751" spans="1:51" ht="12.75" customHeight="1" x14ac:dyDescent="0.25">
      <c r="A751" s="5">
        <v>719</v>
      </c>
      <c r="B751" s="9">
        <v>719</v>
      </c>
      <c r="C751" s="9" t="s">
        <v>9204</v>
      </c>
      <c r="D751" s="57" t="str">
        <f>HYPERLINK("http://prodenv.dep.state.fl.us/DepNexus/public/electronic-documents/OG_719/facility!search","OG_719_Docs")</f>
        <v>OG_719_Docs</v>
      </c>
      <c r="E751" s="57" t="str">
        <f>HYPERLINK("https://ca.dep.state.fl.us/mapdirect/?focus=oilandgas&amp;zoom=query&amp;querytype=oilandgas&amp;queryvalues=OG_719","OG_719_Map")</f>
        <v>OG_719_Map</v>
      </c>
      <c r="F751" s="1" t="s">
        <v>290</v>
      </c>
      <c r="G751" s="1" t="s">
        <v>79</v>
      </c>
      <c r="H751" s="1" t="s">
        <v>9205</v>
      </c>
      <c r="I751" s="1" t="s">
        <v>8562</v>
      </c>
      <c r="J751" s="17" t="s">
        <v>207</v>
      </c>
      <c r="K751" s="17" t="s">
        <v>208</v>
      </c>
      <c r="L751" s="17"/>
      <c r="M751" s="17" t="s">
        <v>207</v>
      </c>
      <c r="N751" s="52" t="s">
        <v>86</v>
      </c>
      <c r="O751" s="17" t="s">
        <v>270</v>
      </c>
      <c r="P751" s="17" t="s">
        <v>3395</v>
      </c>
      <c r="Q751" s="81" t="s">
        <v>8563</v>
      </c>
      <c r="R751" s="11">
        <v>25.790683000000001</v>
      </c>
      <c r="S751" s="11">
        <v>-80.889134999999996</v>
      </c>
      <c r="T751" s="11" t="s">
        <v>8564</v>
      </c>
      <c r="U751" s="11" t="s">
        <v>8565</v>
      </c>
      <c r="V751" s="17" t="s">
        <v>8566</v>
      </c>
      <c r="W751" s="17" t="s">
        <v>110</v>
      </c>
      <c r="X751" s="70"/>
      <c r="Y751" s="70"/>
      <c r="Z751" s="13">
        <v>27065</v>
      </c>
      <c r="AA751" s="13"/>
      <c r="AB751" s="13"/>
      <c r="AC751" s="13"/>
      <c r="AD751" s="86"/>
      <c r="AE751" s="70"/>
      <c r="AF751" s="70" t="s">
        <v>207</v>
      </c>
      <c r="AG751" s="14" t="s">
        <v>207</v>
      </c>
      <c r="AH751" s="14" t="s">
        <v>207</v>
      </c>
      <c r="AI751" s="70" t="s">
        <v>207</v>
      </c>
      <c r="AJ751" s="14" t="s">
        <v>207</v>
      </c>
      <c r="AK751" s="14" t="s">
        <v>207</v>
      </c>
      <c r="AL751" s="14" t="s">
        <v>207</v>
      </c>
      <c r="AM751" s="14" t="s">
        <v>207</v>
      </c>
      <c r="AN751" s="14" t="s">
        <v>207</v>
      </c>
      <c r="AO751" s="14" t="s">
        <v>207</v>
      </c>
      <c r="AP751" s="14" t="s">
        <v>207</v>
      </c>
      <c r="AQ751" s="14" t="s">
        <v>207</v>
      </c>
      <c r="AR751" s="14" t="s">
        <v>207</v>
      </c>
      <c r="AS751" s="14" t="s">
        <v>207</v>
      </c>
      <c r="AT751" s="14" t="s">
        <v>207</v>
      </c>
      <c r="AU751" s="30" t="s">
        <v>9206</v>
      </c>
      <c r="AV751" s="14" t="s">
        <v>207</v>
      </c>
      <c r="AW751" s="74"/>
      <c r="AX751" s="1"/>
      <c r="AY751" s="17" t="s">
        <v>101</v>
      </c>
    </row>
    <row r="752" spans="1:51" ht="12.75" customHeight="1" x14ac:dyDescent="0.25">
      <c r="A752" s="5">
        <v>720</v>
      </c>
      <c r="B752" s="9">
        <v>720</v>
      </c>
      <c r="C752" s="9" t="s">
        <v>9207</v>
      </c>
      <c r="D752" s="57" t="str">
        <f>HYPERLINK("http://prodenv.dep.state.fl.us/DepNexus/public/electronic-documents/OG_720/facility!search","OG_720_Docs")</f>
        <v>OG_720_Docs</v>
      </c>
      <c r="E752" s="57" t="str">
        <f>HYPERLINK("https://ca.dep.state.fl.us/mapdirect/?focus=oilandgas&amp;zoom=query&amp;querytype=oilandgas&amp;queryvalues=OG_720","OG_720_Map")</f>
        <v>OG_720_Map</v>
      </c>
      <c r="F752" s="1" t="s">
        <v>2026</v>
      </c>
      <c r="G752" s="1" t="s">
        <v>79</v>
      </c>
      <c r="H752" s="1" t="s">
        <v>9208</v>
      </c>
      <c r="I752" s="1" t="s">
        <v>9209</v>
      </c>
      <c r="J752" s="17" t="s">
        <v>82</v>
      </c>
      <c r="K752" s="17" t="s">
        <v>83</v>
      </c>
      <c r="L752" s="17" t="s">
        <v>101</v>
      </c>
      <c r="M752" s="17"/>
      <c r="N752" s="52" t="s">
        <v>4735</v>
      </c>
      <c r="O752" s="17" t="s">
        <v>86</v>
      </c>
      <c r="P752" s="17" t="s">
        <v>86</v>
      </c>
      <c r="Q752" s="81" t="s">
        <v>9210</v>
      </c>
      <c r="R752" s="11">
        <v>26.507968999999999</v>
      </c>
      <c r="S752" s="11">
        <v>-81.657486000000006</v>
      </c>
      <c r="T752" s="11" t="s">
        <v>9211</v>
      </c>
      <c r="U752" s="11" t="s">
        <v>9212</v>
      </c>
      <c r="V752" s="17" t="s">
        <v>9213</v>
      </c>
      <c r="W752" s="17" t="s">
        <v>110</v>
      </c>
      <c r="X752" s="70">
        <v>44</v>
      </c>
      <c r="Y752" s="70">
        <v>27.5</v>
      </c>
      <c r="Z752" s="13">
        <v>27065</v>
      </c>
      <c r="AA752" s="13">
        <v>27106</v>
      </c>
      <c r="AB752" s="13"/>
      <c r="AC752" s="13">
        <v>27142</v>
      </c>
      <c r="AD752" s="86">
        <v>11816</v>
      </c>
      <c r="AE752" s="86">
        <v>11816</v>
      </c>
      <c r="AF752" s="70" t="s">
        <v>9214</v>
      </c>
      <c r="AG752" s="17" t="s">
        <v>9215</v>
      </c>
      <c r="AH752" s="17" t="s">
        <v>9216</v>
      </c>
      <c r="AI752" s="70" t="s">
        <v>94</v>
      </c>
      <c r="AJ752" s="17" t="s">
        <v>94</v>
      </c>
      <c r="AK752" s="17" t="s">
        <v>94</v>
      </c>
      <c r="AL752" s="17" t="s">
        <v>8362</v>
      </c>
      <c r="AM752" s="17" t="s">
        <v>95</v>
      </c>
      <c r="AN752" s="17" t="s">
        <v>9217</v>
      </c>
      <c r="AO752" s="17" t="s">
        <v>98</v>
      </c>
      <c r="AP752" s="17" t="s">
        <v>98</v>
      </c>
      <c r="AQ752" s="17" t="s">
        <v>98</v>
      </c>
      <c r="AR752" s="17" t="s">
        <v>94</v>
      </c>
      <c r="AS752" s="17" t="s">
        <v>9218</v>
      </c>
      <c r="AT752" s="17"/>
      <c r="AU752" s="30" t="s">
        <v>9219</v>
      </c>
      <c r="AV752" s="14">
        <v>12261</v>
      </c>
      <c r="AW752" s="74"/>
      <c r="AX752" s="1"/>
      <c r="AY752" s="17" t="s">
        <v>101</v>
      </c>
    </row>
    <row r="753" spans="1:51" ht="12.75" customHeight="1" x14ac:dyDescent="0.25">
      <c r="A753" s="5">
        <v>721</v>
      </c>
      <c r="B753" s="9">
        <v>721</v>
      </c>
      <c r="C753" s="9" t="s">
        <v>9220</v>
      </c>
      <c r="D753" s="57" t="str">
        <f>HYPERLINK("http://prodenv.dep.state.fl.us/DepNexus/public/electronic-documents/OG_721/facility!search","OG_721_Docs")</f>
        <v>OG_721_Docs</v>
      </c>
      <c r="E753" s="57" t="str">
        <f>HYPERLINK("https://ca.dep.state.fl.us/mapdirect/?focus=oilandgas&amp;zoom=query&amp;querytype=oilandgas&amp;queryvalues=OG_721","OG_721_Map")</f>
        <v>OG_721_Map</v>
      </c>
      <c r="F753" s="1" t="s">
        <v>314</v>
      </c>
      <c r="G753" s="1" t="s">
        <v>79</v>
      </c>
      <c r="H753" s="1" t="s">
        <v>8851</v>
      </c>
      <c r="I753" s="1" t="s">
        <v>9221</v>
      </c>
      <c r="J753" s="17" t="s">
        <v>82</v>
      </c>
      <c r="K753" s="17" t="s">
        <v>83</v>
      </c>
      <c r="L753" s="17"/>
      <c r="M753" s="17" t="s">
        <v>101</v>
      </c>
      <c r="N753" s="52" t="s">
        <v>9222</v>
      </c>
      <c r="O753" s="17" t="s">
        <v>86</v>
      </c>
      <c r="P753" s="17" t="s">
        <v>86</v>
      </c>
      <c r="Q753" s="81" t="s">
        <v>9223</v>
      </c>
      <c r="R753" s="11">
        <v>30.373051</v>
      </c>
      <c r="S753" s="11">
        <v>-86.292465000000007</v>
      </c>
      <c r="T753" s="11" t="s">
        <v>9224</v>
      </c>
      <c r="U753" s="11" t="s">
        <v>9225</v>
      </c>
      <c r="V753" s="17" t="s">
        <v>9226</v>
      </c>
      <c r="W753" s="17" t="s">
        <v>110</v>
      </c>
      <c r="X753" s="70">
        <v>43.35</v>
      </c>
      <c r="Y753" s="70">
        <v>19.350000000000001</v>
      </c>
      <c r="Z753" s="13">
        <v>27065</v>
      </c>
      <c r="AA753" s="13">
        <v>27073</v>
      </c>
      <c r="AB753" s="13"/>
      <c r="AC753" s="13">
        <v>27129</v>
      </c>
      <c r="AD753" s="86">
        <v>14515</v>
      </c>
      <c r="AE753" s="86">
        <v>14515</v>
      </c>
      <c r="AF753" s="70" t="s">
        <v>3992</v>
      </c>
      <c r="AG753" s="17" t="s">
        <v>9227</v>
      </c>
      <c r="AH753" s="17" t="s">
        <v>94</v>
      </c>
      <c r="AI753" s="70" t="s">
        <v>94</v>
      </c>
      <c r="AJ753" s="17" t="s">
        <v>94</v>
      </c>
      <c r="AK753" s="17" t="s">
        <v>95</v>
      </c>
      <c r="AL753" s="17" t="s">
        <v>94</v>
      </c>
      <c r="AM753" s="17" t="s">
        <v>94</v>
      </c>
      <c r="AN753" s="17" t="s">
        <v>94</v>
      </c>
      <c r="AO753" s="17" t="s">
        <v>98</v>
      </c>
      <c r="AP753" s="17" t="s">
        <v>98</v>
      </c>
      <c r="AQ753" s="17" t="s">
        <v>98</v>
      </c>
      <c r="AR753" s="17" t="s">
        <v>94</v>
      </c>
      <c r="AS753" s="17" t="s">
        <v>9228</v>
      </c>
      <c r="AT753" s="17">
        <v>236</v>
      </c>
      <c r="AU753" s="30" t="s">
        <v>9229</v>
      </c>
      <c r="AV753" s="14">
        <v>12309</v>
      </c>
      <c r="AW753" s="74"/>
      <c r="AX753" s="1"/>
      <c r="AY753" s="17" t="s">
        <v>101</v>
      </c>
    </row>
    <row r="754" spans="1:51" ht="12.75" customHeight="1" x14ac:dyDescent="0.25">
      <c r="A754" s="5">
        <v>722</v>
      </c>
      <c r="B754" s="9">
        <v>722</v>
      </c>
      <c r="C754" s="9" t="s">
        <v>9230</v>
      </c>
      <c r="D754" s="57" t="str">
        <f>HYPERLINK("http://prodenv.dep.state.fl.us/DepNexus/public/electronic-documents/OG_722/facility!search","OG_722_Docs")</f>
        <v>OG_722_Docs</v>
      </c>
      <c r="E754" s="57" t="str">
        <f>HYPERLINK("https://ca.dep.state.fl.us/mapdirect/?focus=oilandgas&amp;zoom=query&amp;querytype=oilandgas&amp;queryvalues=OG_722","OG_722_Map")</f>
        <v>OG_722_Map</v>
      </c>
      <c r="F754" s="1" t="s">
        <v>191</v>
      </c>
      <c r="G754" s="1" t="s">
        <v>79</v>
      </c>
      <c r="H754" s="1" t="s">
        <v>8851</v>
      </c>
      <c r="I754" s="1" t="s">
        <v>9231</v>
      </c>
      <c r="J754" s="17" t="s">
        <v>207</v>
      </c>
      <c r="K754" s="17" t="s">
        <v>208</v>
      </c>
      <c r="L754" s="17"/>
      <c r="M754" s="17" t="s">
        <v>207</v>
      </c>
      <c r="N754" s="52" t="s">
        <v>86</v>
      </c>
      <c r="O754" s="17" t="s">
        <v>86</v>
      </c>
      <c r="P754" s="17" t="s">
        <v>86</v>
      </c>
      <c r="Q754" s="81" t="s">
        <v>9232</v>
      </c>
      <c r="R754" s="11">
        <v>29.766047</v>
      </c>
      <c r="S754" s="11">
        <v>-85.058294000000004</v>
      </c>
      <c r="T754" s="11" t="s">
        <v>9233</v>
      </c>
      <c r="U754" s="11" t="s">
        <v>9234</v>
      </c>
      <c r="V754" s="17" t="s">
        <v>6887</v>
      </c>
      <c r="W754" s="17" t="s">
        <v>110</v>
      </c>
      <c r="X754" s="70"/>
      <c r="Y754" s="70"/>
      <c r="Z754" s="13">
        <v>27065</v>
      </c>
      <c r="AA754" s="13"/>
      <c r="AB754" s="13"/>
      <c r="AC754" s="13"/>
      <c r="AD754" s="86"/>
      <c r="AE754" s="70"/>
      <c r="AF754" s="70" t="s">
        <v>207</v>
      </c>
      <c r="AG754" s="14" t="s">
        <v>207</v>
      </c>
      <c r="AH754" s="14" t="s">
        <v>207</v>
      </c>
      <c r="AI754" s="70" t="s">
        <v>207</v>
      </c>
      <c r="AJ754" s="14" t="s">
        <v>207</v>
      </c>
      <c r="AK754" s="14" t="s">
        <v>207</v>
      </c>
      <c r="AL754" s="14" t="s">
        <v>207</v>
      </c>
      <c r="AM754" s="14" t="s">
        <v>207</v>
      </c>
      <c r="AN754" s="14" t="s">
        <v>207</v>
      </c>
      <c r="AO754" s="14" t="s">
        <v>207</v>
      </c>
      <c r="AP754" s="14" t="s">
        <v>207</v>
      </c>
      <c r="AQ754" s="14" t="s">
        <v>207</v>
      </c>
      <c r="AR754" s="14" t="s">
        <v>207</v>
      </c>
      <c r="AS754" s="14" t="s">
        <v>207</v>
      </c>
      <c r="AT754" s="14" t="s">
        <v>207</v>
      </c>
      <c r="AU754" s="30" t="s">
        <v>9235</v>
      </c>
      <c r="AV754" s="14" t="s">
        <v>207</v>
      </c>
      <c r="AW754" s="74"/>
      <c r="AX754" s="1"/>
      <c r="AY754" s="17" t="s">
        <v>101</v>
      </c>
    </row>
    <row r="755" spans="1:51" ht="12.75" customHeight="1" x14ac:dyDescent="0.25">
      <c r="A755" s="5">
        <v>723</v>
      </c>
      <c r="B755" s="9">
        <v>723</v>
      </c>
      <c r="C755" s="9" t="s">
        <v>9236</v>
      </c>
      <c r="D755" s="57" t="str">
        <f>HYPERLINK("http://prodenv.dep.state.fl.us/DepNexus/public/electronic-documents/OG_723/facility!search","OG_723_Docs")</f>
        <v>OG_723_Docs</v>
      </c>
      <c r="E755" s="57" t="str">
        <f>HYPERLINK("https://ca.dep.state.fl.us/mapdirect/?focus=oilandgas&amp;zoom=query&amp;querytype=oilandgas&amp;queryvalues=OG_723","OG_723_Map")</f>
        <v>OG_723_Map</v>
      </c>
      <c r="F755" s="1" t="s">
        <v>634</v>
      </c>
      <c r="G755" s="1" t="s">
        <v>79</v>
      </c>
      <c r="H755" s="1" t="s">
        <v>9237</v>
      </c>
      <c r="I755" s="1" t="s">
        <v>9238</v>
      </c>
      <c r="J755" s="17" t="s">
        <v>82</v>
      </c>
      <c r="K755" s="17" t="s">
        <v>83</v>
      </c>
      <c r="L755" s="17"/>
      <c r="M755" s="17" t="s">
        <v>84</v>
      </c>
      <c r="N755" s="52" t="s">
        <v>3451</v>
      </c>
      <c r="O755" s="17" t="s">
        <v>86</v>
      </c>
      <c r="P755" s="17" t="s">
        <v>86</v>
      </c>
      <c r="Q755" s="81" t="s">
        <v>9239</v>
      </c>
      <c r="R755" s="11">
        <v>30.248405999999999</v>
      </c>
      <c r="S755" s="11">
        <v>-83.032214999999994</v>
      </c>
      <c r="T755" s="11" t="s">
        <v>9240</v>
      </c>
      <c r="U755" s="11" t="s">
        <v>9241</v>
      </c>
      <c r="V755" s="17" t="s">
        <v>1117</v>
      </c>
      <c r="W755" s="17" t="s">
        <v>110</v>
      </c>
      <c r="X755" s="70">
        <v>106</v>
      </c>
      <c r="Y755" s="70">
        <v>96</v>
      </c>
      <c r="Z755" s="13">
        <v>27065</v>
      </c>
      <c r="AA755" s="13">
        <v>27105</v>
      </c>
      <c r="AB755" s="13">
        <v>27124</v>
      </c>
      <c r="AC755" s="13">
        <v>27124</v>
      </c>
      <c r="AD755" s="86">
        <v>4510</v>
      </c>
      <c r="AE755" s="86">
        <v>4510</v>
      </c>
      <c r="AF755" s="70" t="s">
        <v>1445</v>
      </c>
      <c r="AG755" s="17" t="s">
        <v>9242</v>
      </c>
      <c r="AH755" s="17" t="s">
        <v>94</v>
      </c>
      <c r="AI755" s="70" t="s">
        <v>94</v>
      </c>
      <c r="AJ755" s="17" t="s">
        <v>94</v>
      </c>
      <c r="AK755" s="17" t="s">
        <v>95</v>
      </c>
      <c r="AL755" s="17" t="s">
        <v>94</v>
      </c>
      <c r="AM755" s="17" t="s">
        <v>94</v>
      </c>
      <c r="AN755" s="17" t="s">
        <v>94</v>
      </c>
      <c r="AO755" s="17" t="s">
        <v>98</v>
      </c>
      <c r="AP755" s="17" t="s">
        <v>98</v>
      </c>
      <c r="AQ755" s="17" t="s">
        <v>98</v>
      </c>
      <c r="AR755" s="17" t="s">
        <v>94</v>
      </c>
      <c r="AS755" s="17" t="s">
        <v>9243</v>
      </c>
      <c r="AT755" s="17"/>
      <c r="AU755" s="30" t="s">
        <v>9244</v>
      </c>
      <c r="AV755" s="14">
        <v>12247</v>
      </c>
      <c r="AW755" s="74"/>
      <c r="AX755" s="1"/>
      <c r="AY755" s="17" t="s">
        <v>101</v>
      </c>
    </row>
    <row r="756" spans="1:51" ht="12.75" customHeight="1" x14ac:dyDescent="0.25">
      <c r="A756" s="5">
        <v>724</v>
      </c>
      <c r="B756" s="9">
        <v>724</v>
      </c>
      <c r="C756" s="9" t="s">
        <v>9245</v>
      </c>
      <c r="D756" s="57" t="str">
        <f>HYPERLINK("http://prodenv.dep.state.fl.us/DepNexus/public/electronic-documents/OG_724/facility!search","OG_724_Docs")</f>
        <v>OG_724_Docs</v>
      </c>
      <c r="E756" s="57" t="str">
        <f>HYPERLINK("https://ca.dep.state.fl.us/mapdirect/?focus=oilandgas&amp;zoom=query&amp;querytype=oilandgas&amp;queryvalues=OG_724","OG_724_Map")</f>
        <v>OG_724_Map</v>
      </c>
      <c r="F756" s="1" t="s">
        <v>634</v>
      </c>
      <c r="G756" s="1" t="s">
        <v>79</v>
      </c>
      <c r="H756" s="1" t="s">
        <v>9237</v>
      </c>
      <c r="I756" s="1" t="s">
        <v>9246</v>
      </c>
      <c r="J756" s="17" t="s">
        <v>82</v>
      </c>
      <c r="K756" s="17" t="s">
        <v>83</v>
      </c>
      <c r="L756" s="17"/>
      <c r="M756" s="17" t="s">
        <v>84</v>
      </c>
      <c r="N756" s="52" t="s">
        <v>3451</v>
      </c>
      <c r="O756" s="17" t="s">
        <v>86</v>
      </c>
      <c r="P756" s="17" t="s">
        <v>86</v>
      </c>
      <c r="Q756" s="81" t="s">
        <v>9247</v>
      </c>
      <c r="R756" s="11">
        <v>30.310082999999999</v>
      </c>
      <c r="S756" s="11">
        <v>-83.116585999999998</v>
      </c>
      <c r="T756" s="11" t="s">
        <v>9248</v>
      </c>
      <c r="U756" s="11" t="s">
        <v>9249</v>
      </c>
      <c r="V756" s="17" t="s">
        <v>352</v>
      </c>
      <c r="W756" s="17" t="s">
        <v>110</v>
      </c>
      <c r="X756" s="70">
        <v>96</v>
      </c>
      <c r="Y756" s="70">
        <v>86</v>
      </c>
      <c r="Z756" s="13">
        <v>27065</v>
      </c>
      <c r="AA756" s="13">
        <v>27074</v>
      </c>
      <c r="AB756" s="13">
        <v>27102</v>
      </c>
      <c r="AC756" s="13">
        <v>27102</v>
      </c>
      <c r="AD756" s="86">
        <v>4520</v>
      </c>
      <c r="AE756" s="86">
        <v>4520</v>
      </c>
      <c r="AF756" s="70" t="s">
        <v>7745</v>
      </c>
      <c r="AG756" s="17" t="s">
        <v>9250</v>
      </c>
      <c r="AH756" s="17" t="s">
        <v>94</v>
      </c>
      <c r="AI756" s="70" t="s">
        <v>94</v>
      </c>
      <c r="AJ756" s="17" t="s">
        <v>94</v>
      </c>
      <c r="AK756" s="17"/>
      <c r="AL756" s="17"/>
      <c r="AM756" s="17" t="s">
        <v>95</v>
      </c>
      <c r="AN756" s="17" t="s">
        <v>94</v>
      </c>
      <c r="AO756" s="17" t="s">
        <v>98</v>
      </c>
      <c r="AP756" s="17" t="s">
        <v>98</v>
      </c>
      <c r="AQ756" s="17" t="s">
        <v>98</v>
      </c>
      <c r="AR756" s="17" t="s">
        <v>94</v>
      </c>
      <c r="AS756" s="17" t="s">
        <v>9251</v>
      </c>
      <c r="AT756" s="17">
        <v>106</v>
      </c>
      <c r="AU756" s="30" t="s">
        <v>9252</v>
      </c>
      <c r="AV756" s="14">
        <v>12246</v>
      </c>
      <c r="AW756" s="74"/>
      <c r="AX756" s="1"/>
      <c r="AY756" s="17" t="s">
        <v>101</v>
      </c>
    </row>
    <row r="757" spans="1:51" ht="12.75" customHeight="1" x14ac:dyDescent="0.25">
      <c r="A757" s="5">
        <v>725</v>
      </c>
      <c r="B757" s="9">
        <v>725</v>
      </c>
      <c r="C757" s="9" t="s">
        <v>9253</v>
      </c>
      <c r="D757" s="57" t="str">
        <f>HYPERLINK("http://prodenv.dep.state.fl.us/DepNexus/public/electronic-documents/OG_725/facility!search","OG_725_Docs")</f>
        <v>OG_725_Docs</v>
      </c>
      <c r="E757" s="57" t="str">
        <f>HYPERLINK("https://ca.dep.state.fl.us/mapdirect/?focus=oilandgas&amp;zoom=query&amp;querytype=oilandgas&amp;queryvalues=OG_725","OG_725_Map")</f>
        <v>OG_725_Map</v>
      </c>
      <c r="F757" s="1" t="s">
        <v>127</v>
      </c>
      <c r="G757" s="1" t="s">
        <v>79</v>
      </c>
      <c r="H757" s="1" t="s">
        <v>9237</v>
      </c>
      <c r="I757" s="1" t="s">
        <v>9254</v>
      </c>
      <c r="J757" s="17" t="s">
        <v>4294</v>
      </c>
      <c r="K757" s="17" t="s">
        <v>4294</v>
      </c>
      <c r="L757" s="17"/>
      <c r="M757" s="17"/>
      <c r="N757" s="52" t="s">
        <v>3193</v>
      </c>
      <c r="O757" s="17" t="s">
        <v>86</v>
      </c>
      <c r="P757" s="17" t="s">
        <v>86</v>
      </c>
      <c r="Q757" s="81" t="s">
        <v>9255</v>
      </c>
      <c r="R757" s="11">
        <v>29.949569</v>
      </c>
      <c r="S757" s="11">
        <v>-83.030550000000005</v>
      </c>
      <c r="T757" s="11" t="s">
        <v>9256</v>
      </c>
      <c r="U757" s="11" t="s">
        <v>9257</v>
      </c>
      <c r="V757" s="17" t="s">
        <v>9258</v>
      </c>
      <c r="W757" s="17" t="s">
        <v>110</v>
      </c>
      <c r="X757" s="70">
        <v>75</v>
      </c>
      <c r="Y757" s="70">
        <v>65</v>
      </c>
      <c r="Z757" s="13">
        <v>27065</v>
      </c>
      <c r="AA757" s="13">
        <v>27131</v>
      </c>
      <c r="AB757" s="13">
        <v>27141</v>
      </c>
      <c r="AC757" s="13">
        <v>27141</v>
      </c>
      <c r="AD757" s="86">
        <v>1338</v>
      </c>
      <c r="AE757" s="86">
        <v>1338</v>
      </c>
      <c r="AF757" s="70" t="s">
        <v>9259</v>
      </c>
      <c r="AG757" s="17" t="s">
        <v>94</v>
      </c>
      <c r="AH757" s="17" t="s">
        <v>94</v>
      </c>
      <c r="AI757" s="70" t="s">
        <v>94</v>
      </c>
      <c r="AJ757" s="17" t="s">
        <v>94</v>
      </c>
      <c r="AK757" s="17" t="s">
        <v>94</v>
      </c>
      <c r="AL757" s="17" t="s">
        <v>94</v>
      </c>
      <c r="AM757" s="17" t="s">
        <v>94</v>
      </c>
      <c r="AN757" s="17" t="s">
        <v>94</v>
      </c>
      <c r="AO757" s="17" t="s">
        <v>94</v>
      </c>
      <c r="AP757" s="17" t="s">
        <v>94</v>
      </c>
      <c r="AQ757" s="17" t="s">
        <v>94</v>
      </c>
      <c r="AR757" s="17" t="s">
        <v>94</v>
      </c>
      <c r="AS757" s="17" t="s">
        <v>9260</v>
      </c>
      <c r="AT757" s="17" t="s">
        <v>94</v>
      </c>
      <c r="AU757" s="30" t="s">
        <v>9261</v>
      </c>
      <c r="AV757" s="14" t="s">
        <v>94</v>
      </c>
      <c r="AW757" s="74"/>
      <c r="AX757" s="1" t="s">
        <v>9262</v>
      </c>
      <c r="AY757" s="17" t="s">
        <v>101</v>
      </c>
    </row>
    <row r="758" spans="1:51" ht="12.75" customHeight="1" x14ac:dyDescent="0.25">
      <c r="A758" s="5">
        <v>725.1</v>
      </c>
      <c r="B758" s="9" t="s">
        <v>9263</v>
      </c>
      <c r="C758" s="9" t="s">
        <v>9253</v>
      </c>
      <c r="D758" s="57" t="str">
        <f>HYPERLINK("http://prodenv.dep.state.fl.us/DepNexus/public/electronic-documents/OG_725/facility!search","OG_725_Docs")</f>
        <v>OG_725_Docs</v>
      </c>
      <c r="E758" s="57" t="str">
        <f>HYPERLINK("https://ca.dep.state.fl.us/mapdirect/?focus=oilandgas&amp;zoom=query&amp;querytype=oilandgas&amp;queryvalues=OG_725","OG_725_Map")</f>
        <v>OG_725_Map</v>
      </c>
      <c r="F758" s="1" t="s">
        <v>127</v>
      </c>
      <c r="G758" s="1" t="s">
        <v>79</v>
      </c>
      <c r="H758" s="1" t="s">
        <v>9237</v>
      </c>
      <c r="I758" s="1" t="s">
        <v>9264</v>
      </c>
      <c r="J758" s="17" t="s">
        <v>82</v>
      </c>
      <c r="K758" s="17" t="s">
        <v>83</v>
      </c>
      <c r="L758" s="17"/>
      <c r="M758" s="17"/>
      <c r="N758" s="52" t="s">
        <v>9265</v>
      </c>
      <c r="O758" s="17" t="s">
        <v>86</v>
      </c>
      <c r="P758" s="17" t="s">
        <v>86</v>
      </c>
      <c r="Q758" s="81" t="s">
        <v>9255</v>
      </c>
      <c r="R758" s="11">
        <v>29.950109000000001</v>
      </c>
      <c r="S758" s="11">
        <v>-83.031166999999996</v>
      </c>
      <c r="T758" s="11" t="s">
        <v>9266</v>
      </c>
      <c r="U758" s="11" t="s">
        <v>9267</v>
      </c>
      <c r="V758" s="17" t="s">
        <v>9268</v>
      </c>
      <c r="W758" s="17" t="s">
        <v>110</v>
      </c>
      <c r="X758" s="70">
        <v>73.650000000000006</v>
      </c>
      <c r="Y758" s="70">
        <v>64.650000000000006</v>
      </c>
      <c r="Z758" s="13">
        <v>27156</v>
      </c>
      <c r="AA758" s="13">
        <v>27149</v>
      </c>
      <c r="AB758" s="13">
        <v>27194</v>
      </c>
      <c r="AC758" s="13">
        <v>27194</v>
      </c>
      <c r="AD758" s="86">
        <v>5501</v>
      </c>
      <c r="AE758" s="86">
        <v>5501</v>
      </c>
      <c r="AF758" s="70" t="s">
        <v>9269</v>
      </c>
      <c r="AG758" s="17" t="s">
        <v>9270</v>
      </c>
      <c r="AH758" s="17" t="s">
        <v>9271</v>
      </c>
      <c r="AI758" s="70" t="s">
        <v>94</v>
      </c>
      <c r="AJ758" s="17" t="s">
        <v>94</v>
      </c>
      <c r="AK758" s="17" t="s">
        <v>94</v>
      </c>
      <c r="AL758" s="17" t="s">
        <v>94</v>
      </c>
      <c r="AM758" s="17" t="s">
        <v>94</v>
      </c>
      <c r="AN758" s="17" t="s">
        <v>94</v>
      </c>
      <c r="AO758" s="17" t="s">
        <v>98</v>
      </c>
      <c r="AP758" s="17" t="s">
        <v>98</v>
      </c>
      <c r="AQ758" s="17" t="s">
        <v>98</v>
      </c>
      <c r="AR758" s="17" t="s">
        <v>94</v>
      </c>
      <c r="AS758" s="17" t="s">
        <v>9272</v>
      </c>
      <c r="AT758" s="17">
        <v>100</v>
      </c>
      <c r="AU758" s="30" t="s">
        <v>9273</v>
      </c>
      <c r="AV758" s="14" t="s">
        <v>94</v>
      </c>
      <c r="AW758" s="74"/>
      <c r="AX758" s="1"/>
      <c r="AY758" s="17" t="s">
        <v>101</v>
      </c>
    </row>
    <row r="759" spans="1:51" ht="12.75" customHeight="1" x14ac:dyDescent="0.25">
      <c r="A759" s="5">
        <v>726</v>
      </c>
      <c r="B759" s="9">
        <v>726</v>
      </c>
      <c r="C759" s="9" t="s">
        <v>9274</v>
      </c>
      <c r="D759" s="57" t="str">
        <f>HYPERLINK("http://prodenv.dep.state.fl.us/DepNexus/public/electronic-documents/OG_726/facility!search","OG_726_Docs")</f>
        <v>OG_726_Docs</v>
      </c>
      <c r="E759" s="57" t="str">
        <f>HYPERLINK("https://ca.dep.state.fl.us/mapdirect/?focus=oilandgas&amp;zoom=query&amp;querytype=oilandgas&amp;queryvalues=OG_726","OG_726_Map")</f>
        <v>OG_726_Map</v>
      </c>
      <c r="F759" s="1" t="s">
        <v>103</v>
      </c>
      <c r="G759" s="1" t="s">
        <v>79</v>
      </c>
      <c r="H759" s="1" t="s">
        <v>9275</v>
      </c>
      <c r="I759" s="1" t="s">
        <v>9276</v>
      </c>
      <c r="J759" s="17" t="s">
        <v>207</v>
      </c>
      <c r="K759" s="17" t="s">
        <v>208</v>
      </c>
      <c r="L759" s="17"/>
      <c r="M759" s="17" t="s">
        <v>207</v>
      </c>
      <c r="N759" s="52" t="s">
        <v>86</v>
      </c>
      <c r="O759" s="17" t="s">
        <v>86</v>
      </c>
      <c r="P759" s="17" t="s">
        <v>86</v>
      </c>
      <c r="Q759" s="81" t="s">
        <v>9277</v>
      </c>
      <c r="R759" s="11">
        <v>30.442291999999998</v>
      </c>
      <c r="S759" s="11">
        <v>-85.344813000000002</v>
      </c>
      <c r="T759" s="11" t="s">
        <v>9278</v>
      </c>
      <c r="U759" s="11" t="s">
        <v>9279</v>
      </c>
      <c r="V759" s="17" t="s">
        <v>9280</v>
      </c>
      <c r="W759" s="17" t="s">
        <v>110</v>
      </c>
      <c r="X759" s="70"/>
      <c r="Y759" s="70"/>
      <c r="Z759" s="13">
        <v>27092</v>
      </c>
      <c r="AA759" s="13"/>
      <c r="AB759" s="13"/>
      <c r="AC759" s="13"/>
      <c r="AD759" s="86"/>
      <c r="AE759" s="70"/>
      <c r="AF759" s="70" t="s">
        <v>207</v>
      </c>
      <c r="AG759" s="14" t="s">
        <v>207</v>
      </c>
      <c r="AH759" s="14" t="s">
        <v>207</v>
      </c>
      <c r="AI759" s="70" t="s">
        <v>207</v>
      </c>
      <c r="AJ759" s="14" t="s">
        <v>207</v>
      </c>
      <c r="AK759" s="14" t="s">
        <v>207</v>
      </c>
      <c r="AL759" s="14" t="s">
        <v>207</v>
      </c>
      <c r="AM759" s="14" t="s">
        <v>207</v>
      </c>
      <c r="AN759" s="14" t="s">
        <v>207</v>
      </c>
      <c r="AO759" s="14" t="s">
        <v>207</v>
      </c>
      <c r="AP759" s="14" t="s">
        <v>207</v>
      </c>
      <c r="AQ759" s="14" t="s">
        <v>207</v>
      </c>
      <c r="AR759" s="14" t="s">
        <v>207</v>
      </c>
      <c r="AS759" s="14" t="s">
        <v>207</v>
      </c>
      <c r="AT759" s="14" t="s">
        <v>207</v>
      </c>
      <c r="AU759" s="30" t="s">
        <v>9281</v>
      </c>
      <c r="AV759" s="14" t="s">
        <v>207</v>
      </c>
      <c r="AW759" s="74"/>
      <c r="AX759" s="1"/>
      <c r="AY759" s="17" t="s">
        <v>101</v>
      </c>
    </row>
    <row r="760" spans="1:51" ht="12.75" customHeight="1" x14ac:dyDescent="0.25">
      <c r="A760" s="5">
        <v>727</v>
      </c>
      <c r="B760" s="9">
        <v>727</v>
      </c>
      <c r="C760" s="9" t="s">
        <v>9282</v>
      </c>
      <c r="D760" s="57" t="str">
        <f>HYPERLINK("http://prodenv.dep.state.fl.us/DepNexus/public/electronic-documents/OG_727/facility!search","OG_727_Docs")</f>
        <v>OG_727_Docs</v>
      </c>
      <c r="E760" s="57" t="str">
        <f>HYPERLINK("https://ca.dep.state.fl.us/mapdirect/?focus=oilandgas&amp;zoom=query&amp;querytype=oilandgas&amp;queryvalues=OG_727","OG_727_Map")</f>
        <v>OG_727_Map</v>
      </c>
      <c r="F760" s="1" t="s">
        <v>265</v>
      </c>
      <c r="G760" s="1" t="s">
        <v>7239</v>
      </c>
      <c r="H760" s="1" t="s">
        <v>8261</v>
      </c>
      <c r="I760" s="1" t="s">
        <v>8262</v>
      </c>
      <c r="J760" s="17" t="s">
        <v>268</v>
      </c>
      <c r="K760" s="17" t="s">
        <v>412</v>
      </c>
      <c r="L760" s="17"/>
      <c r="M760" s="17" t="s">
        <v>101</v>
      </c>
      <c r="N760" s="52" t="s">
        <v>6529</v>
      </c>
      <c r="O760" s="17" t="s">
        <v>270</v>
      </c>
      <c r="P760" s="17" t="s">
        <v>3395</v>
      </c>
      <c r="Q760" s="81" t="s">
        <v>8263</v>
      </c>
      <c r="R760" s="11">
        <v>26.224864</v>
      </c>
      <c r="S760" s="11">
        <v>-81.279048000000003</v>
      </c>
      <c r="T760" s="11" t="s">
        <v>9283</v>
      </c>
      <c r="U760" s="11" t="s">
        <v>9284</v>
      </c>
      <c r="V760" s="17" t="s">
        <v>9285</v>
      </c>
      <c r="W760" s="17" t="s">
        <v>110</v>
      </c>
      <c r="X760" s="70">
        <v>42</v>
      </c>
      <c r="Y760" s="70">
        <v>17</v>
      </c>
      <c r="Z760" s="13">
        <v>27092</v>
      </c>
      <c r="AA760" s="13">
        <v>27729</v>
      </c>
      <c r="AB760" s="13">
        <v>28236</v>
      </c>
      <c r="AC760" s="13">
        <v>30498</v>
      </c>
      <c r="AD760" s="86">
        <v>17254</v>
      </c>
      <c r="AE760" s="86">
        <v>17254</v>
      </c>
      <c r="AF760" s="70" t="s">
        <v>9286</v>
      </c>
      <c r="AG760" s="17" t="s">
        <v>9287</v>
      </c>
      <c r="AH760" s="17" t="s">
        <v>9288</v>
      </c>
      <c r="AI760" s="70" t="s">
        <v>9289</v>
      </c>
      <c r="AJ760" s="17" t="s">
        <v>94</v>
      </c>
      <c r="AK760" s="17" t="s">
        <v>95</v>
      </c>
      <c r="AL760" s="17" t="s">
        <v>9290</v>
      </c>
      <c r="AM760" s="17" t="s">
        <v>95</v>
      </c>
      <c r="AN760" s="17" t="s">
        <v>9291</v>
      </c>
      <c r="AO760" s="17" t="s">
        <v>6406</v>
      </c>
      <c r="AP760" s="17">
        <v>0</v>
      </c>
      <c r="AQ760" s="17" t="s">
        <v>9292</v>
      </c>
      <c r="AR760" s="17" t="s">
        <v>9293</v>
      </c>
      <c r="AS760" s="17" t="s">
        <v>9294</v>
      </c>
      <c r="AT760" s="17">
        <v>241</v>
      </c>
      <c r="AU760" s="30" t="s">
        <v>9295</v>
      </c>
      <c r="AV760" s="14">
        <v>13071</v>
      </c>
      <c r="AW760" s="74"/>
      <c r="AX760" s="1"/>
      <c r="AY760" s="17" t="s">
        <v>101</v>
      </c>
    </row>
    <row r="761" spans="1:51" ht="12.75" customHeight="1" x14ac:dyDescent="0.25">
      <c r="A761" s="5">
        <v>728</v>
      </c>
      <c r="B761" s="9">
        <v>728</v>
      </c>
      <c r="C761" s="9" t="s">
        <v>9296</v>
      </c>
      <c r="D761" s="57" t="str">
        <f>HYPERLINK("http://prodenv.dep.state.fl.us/DepNexus/public/electronic-documents/OG_728/facility!search","OG_728_Docs")</f>
        <v>OG_728_Docs</v>
      </c>
      <c r="E761" s="57" t="str">
        <f>HYPERLINK("https://ca.dep.state.fl.us/mapdirect/?focus=oilandgas&amp;zoom=query&amp;querytype=oilandgas&amp;queryvalues=OG_728","OG_728_Map")</f>
        <v>OG_728_Map</v>
      </c>
      <c r="F761" s="1" t="s">
        <v>1797</v>
      </c>
      <c r="G761" s="1" t="s">
        <v>6648</v>
      </c>
      <c r="H761" s="1" t="s">
        <v>6668</v>
      </c>
      <c r="I761" s="1" t="s">
        <v>9297</v>
      </c>
      <c r="J761" s="17" t="s">
        <v>7486</v>
      </c>
      <c r="K761" s="17" t="s">
        <v>6671</v>
      </c>
      <c r="L761" s="17"/>
      <c r="M761" s="17"/>
      <c r="N761" s="52" t="s">
        <v>6529</v>
      </c>
      <c r="O761" s="17" t="s">
        <v>86</v>
      </c>
      <c r="P761" s="17" t="s">
        <v>86</v>
      </c>
      <c r="Q761" s="81" t="s">
        <v>9298</v>
      </c>
      <c r="R761" s="11">
        <v>30.833715999999999</v>
      </c>
      <c r="S761" s="11">
        <v>-87.095299999999995</v>
      </c>
      <c r="T761" s="11" t="s">
        <v>9299</v>
      </c>
      <c r="U761" s="11" t="s">
        <v>9300</v>
      </c>
      <c r="V761" s="17" t="s">
        <v>3578</v>
      </c>
      <c r="W761" s="17" t="s">
        <v>110</v>
      </c>
      <c r="X761" s="70">
        <v>222.8</v>
      </c>
      <c r="Y761" s="70">
        <v>203.3</v>
      </c>
      <c r="Z761" s="13">
        <v>27107</v>
      </c>
      <c r="AA761" s="13">
        <v>27142</v>
      </c>
      <c r="AB761" s="13">
        <v>27463</v>
      </c>
      <c r="AC761" s="13">
        <v>45524</v>
      </c>
      <c r="AD761" s="86">
        <v>16120</v>
      </c>
      <c r="AE761" s="86">
        <v>16120</v>
      </c>
      <c r="AF761" s="70" t="s">
        <v>3172</v>
      </c>
      <c r="AG761" s="17" t="s">
        <v>9301</v>
      </c>
      <c r="AH761" s="17" t="s">
        <v>94</v>
      </c>
      <c r="AI761" s="70" t="s">
        <v>9302</v>
      </c>
      <c r="AJ761" s="17" t="s">
        <v>9303</v>
      </c>
      <c r="AK761" s="17"/>
      <c r="AL761" s="17" t="s">
        <v>9304</v>
      </c>
      <c r="AM761" s="17" t="s">
        <v>95</v>
      </c>
      <c r="AN761" s="17" t="s">
        <v>94</v>
      </c>
      <c r="AO761" s="17" t="s">
        <v>94</v>
      </c>
      <c r="AP761" s="17" t="s">
        <v>94</v>
      </c>
      <c r="AQ761" s="17" t="s">
        <v>94</v>
      </c>
      <c r="AR761" s="17" t="s">
        <v>9305</v>
      </c>
      <c r="AS761" s="17" t="s">
        <v>9306</v>
      </c>
      <c r="AT761" s="17"/>
      <c r="AU761" s="30" t="s">
        <v>9307</v>
      </c>
      <c r="AV761" s="14">
        <v>12332</v>
      </c>
      <c r="AW761" s="74">
        <v>303039</v>
      </c>
      <c r="AX761" s="1" t="s">
        <v>9308</v>
      </c>
      <c r="AY761" s="17" t="s">
        <v>101</v>
      </c>
    </row>
    <row r="762" spans="1:51" ht="15" customHeight="1" x14ac:dyDescent="0.25">
      <c r="A762" s="5">
        <v>729</v>
      </c>
      <c r="B762" s="9">
        <v>729</v>
      </c>
      <c r="C762" s="9" t="s">
        <v>9309</v>
      </c>
      <c r="D762" s="57" t="str">
        <f>HYPERLINK("http://prodenv.dep.state.fl.us/DepNexus/public/electronic-documents/OG_729/facility!search","OG_729_Docs")</f>
        <v>OG_729_Docs</v>
      </c>
      <c r="E762" s="57" t="str">
        <f>HYPERLINK("https://ca.dep.state.fl.us/mapdirect/?focus=oilandgas&amp;zoom=query&amp;querytype=oilandgas&amp;queryvalues=OG_729","OG_729_Map")</f>
        <v>OG_729_Map</v>
      </c>
      <c r="F762" s="1" t="s">
        <v>1797</v>
      </c>
      <c r="G762" s="1" t="s">
        <v>6648</v>
      </c>
      <c r="H762" s="1" t="s">
        <v>6668</v>
      </c>
      <c r="I762" s="1" t="s">
        <v>9310</v>
      </c>
      <c r="J762" s="17" t="s">
        <v>6670</v>
      </c>
      <c r="K762" s="17" t="s">
        <v>412</v>
      </c>
      <c r="L762" s="17"/>
      <c r="M762" s="17"/>
      <c r="N762" s="52" t="s">
        <v>9311</v>
      </c>
      <c r="O762" s="17" t="s">
        <v>86</v>
      </c>
      <c r="P762" s="17" t="s">
        <v>86</v>
      </c>
      <c r="Q762" s="81" t="s">
        <v>9312</v>
      </c>
      <c r="R762" s="11">
        <v>30.871767999999999</v>
      </c>
      <c r="S762" s="11">
        <v>-87.119786000000005</v>
      </c>
      <c r="T762" s="11" t="s">
        <v>9313</v>
      </c>
      <c r="U762" s="11" t="s">
        <v>9314</v>
      </c>
      <c r="V762" s="17" t="s">
        <v>9315</v>
      </c>
      <c r="W762" s="17" t="s">
        <v>110</v>
      </c>
      <c r="X762" s="70">
        <v>146.6</v>
      </c>
      <c r="Y762" s="70">
        <v>120.8</v>
      </c>
      <c r="Z762" s="13">
        <v>27107</v>
      </c>
      <c r="AA762" s="13">
        <v>27110</v>
      </c>
      <c r="AB762" s="13">
        <v>27253</v>
      </c>
      <c r="AC762" s="13">
        <v>45692</v>
      </c>
      <c r="AD762" s="86">
        <v>16015</v>
      </c>
      <c r="AE762" s="86">
        <v>16015</v>
      </c>
      <c r="AF762" s="70" t="s">
        <v>3172</v>
      </c>
      <c r="AG762" s="17" t="s">
        <v>9316</v>
      </c>
      <c r="AH762" s="17" t="s">
        <v>94</v>
      </c>
      <c r="AI762" s="70" t="s">
        <v>9317</v>
      </c>
      <c r="AJ762" s="17" t="s">
        <v>9318</v>
      </c>
      <c r="AK762" s="17"/>
      <c r="AL762" s="17"/>
      <c r="AM762" s="17" t="s">
        <v>95</v>
      </c>
      <c r="AN762" s="17"/>
      <c r="AO762" s="17" t="s">
        <v>9319</v>
      </c>
      <c r="AP762" s="17" t="s">
        <v>9320</v>
      </c>
      <c r="AQ762" s="17" t="s">
        <v>425</v>
      </c>
      <c r="AR762" s="17" t="s">
        <v>9321</v>
      </c>
      <c r="AS762" s="17" t="s">
        <v>9322</v>
      </c>
      <c r="AT762" s="17"/>
      <c r="AU762" s="30" t="s">
        <v>9323</v>
      </c>
      <c r="AV762" s="14">
        <v>12271</v>
      </c>
      <c r="AW762" s="74">
        <v>302532</v>
      </c>
      <c r="AX762" s="1"/>
      <c r="AY762" s="17" t="s">
        <v>101</v>
      </c>
    </row>
    <row r="763" spans="1:51" ht="15" customHeight="1" x14ac:dyDescent="0.25">
      <c r="A763" s="5">
        <v>730</v>
      </c>
      <c r="B763" s="9">
        <v>730</v>
      </c>
      <c r="C763" s="9" t="s">
        <v>9324</v>
      </c>
      <c r="D763" s="57" t="str">
        <f>HYPERLINK("http://prodenv.dep.state.fl.us/DepNexus/public/electronic-documents/OG_730/facility!search","OG_730_Docs")</f>
        <v>OG_730_Docs</v>
      </c>
      <c r="E763" s="57" t="str">
        <f>HYPERLINK("https://ca.dep.state.fl.us/mapdirect/?focus=oilandgas&amp;zoom=query&amp;querytype=oilandgas&amp;queryvalues=OG_730","OG_730_Map")</f>
        <v>OG_730_Map</v>
      </c>
      <c r="F763" s="1" t="s">
        <v>162</v>
      </c>
      <c r="G763" s="1" t="s">
        <v>79</v>
      </c>
      <c r="H763" s="1" t="s">
        <v>8910</v>
      </c>
      <c r="I763" s="1" t="s">
        <v>9325</v>
      </c>
      <c r="J763" s="17" t="s">
        <v>82</v>
      </c>
      <c r="K763" s="17" t="s">
        <v>82</v>
      </c>
      <c r="L763" s="17"/>
      <c r="M763" s="17"/>
      <c r="N763" s="52" t="s">
        <v>9326</v>
      </c>
      <c r="O763" s="17" t="s">
        <v>86</v>
      </c>
      <c r="P763" s="17" t="s">
        <v>340</v>
      </c>
      <c r="Q763" s="81" t="s">
        <v>9327</v>
      </c>
      <c r="R763" s="11">
        <v>30.186384</v>
      </c>
      <c r="S763" s="11">
        <v>-84.700342000000006</v>
      </c>
      <c r="T763" s="11" t="s">
        <v>9328</v>
      </c>
      <c r="U763" s="11" t="s">
        <v>9329</v>
      </c>
      <c r="V763" s="17" t="s">
        <v>9330</v>
      </c>
      <c r="W763" s="17" t="s">
        <v>110</v>
      </c>
      <c r="X763" s="70">
        <v>62</v>
      </c>
      <c r="Y763" s="70">
        <v>47</v>
      </c>
      <c r="Z763" s="13">
        <v>27107</v>
      </c>
      <c r="AA763" s="13">
        <v>27195</v>
      </c>
      <c r="AB763" s="13">
        <v>27261</v>
      </c>
      <c r="AC763" s="13">
        <v>27261</v>
      </c>
      <c r="AD763" s="86">
        <v>12131</v>
      </c>
      <c r="AE763" s="86">
        <v>12131</v>
      </c>
      <c r="AF763" s="70" t="s">
        <v>9331</v>
      </c>
      <c r="AG763" s="17" t="s">
        <v>9332</v>
      </c>
      <c r="AH763" s="17" t="s">
        <v>9333</v>
      </c>
      <c r="AI763" s="70" t="s">
        <v>94</v>
      </c>
      <c r="AJ763" s="17" t="s">
        <v>94</v>
      </c>
      <c r="AK763" s="17" t="s">
        <v>95</v>
      </c>
      <c r="AL763" s="17"/>
      <c r="AM763" s="17"/>
      <c r="AN763" s="17" t="s">
        <v>94</v>
      </c>
      <c r="AO763" s="17" t="s">
        <v>98</v>
      </c>
      <c r="AP763" s="17" t="s">
        <v>98</v>
      </c>
      <c r="AQ763" s="17" t="s">
        <v>98</v>
      </c>
      <c r="AR763" s="17" t="s">
        <v>94</v>
      </c>
      <c r="AS763" s="17" t="s">
        <v>9334</v>
      </c>
      <c r="AT763" s="17">
        <v>214</v>
      </c>
      <c r="AU763" s="30" t="s">
        <v>9335</v>
      </c>
      <c r="AV763" s="14">
        <v>12496</v>
      </c>
      <c r="AW763" s="74"/>
      <c r="AX763" s="1"/>
      <c r="AY763" s="17" t="s">
        <v>101</v>
      </c>
    </row>
    <row r="764" spans="1:51" ht="15" customHeight="1" x14ac:dyDescent="0.25">
      <c r="A764" s="5">
        <v>731</v>
      </c>
      <c r="B764" s="9">
        <v>731</v>
      </c>
      <c r="C764" s="9" t="s">
        <v>9336</v>
      </c>
      <c r="D764" s="57" t="str">
        <f>HYPERLINK("http://prodenv.dep.state.fl.us/DepNexus/public/electronic-documents/OG_731/facility!search","OG_731_Docs")</f>
        <v>OG_731_Docs</v>
      </c>
      <c r="E764" s="57" t="str">
        <f>HYPERLINK("https://ca.dep.state.fl.us/mapdirect/?focus=oilandgas&amp;zoom=query&amp;querytype=oilandgas&amp;queryvalues=OG_731","OG_731_Map")</f>
        <v>OG_731_Map</v>
      </c>
      <c r="F764" s="1" t="s">
        <v>829</v>
      </c>
      <c r="G764" s="1" t="s">
        <v>79</v>
      </c>
      <c r="H764" s="1" t="s">
        <v>9337</v>
      </c>
      <c r="I764" s="1" t="s">
        <v>9338</v>
      </c>
      <c r="J764" s="17" t="s">
        <v>82</v>
      </c>
      <c r="K764" s="17" t="s">
        <v>83</v>
      </c>
      <c r="L764" s="17"/>
      <c r="M764" s="17" t="s">
        <v>101</v>
      </c>
      <c r="N764" s="52" t="s">
        <v>5949</v>
      </c>
      <c r="O764" s="17" t="s">
        <v>1962</v>
      </c>
      <c r="P764" s="17" t="s">
        <v>86</v>
      </c>
      <c r="Q764" s="81" t="s">
        <v>9339</v>
      </c>
      <c r="R764" s="11">
        <v>30.781651</v>
      </c>
      <c r="S764" s="11">
        <v>-86.752644000000004</v>
      </c>
      <c r="T764" s="11" t="s">
        <v>9340</v>
      </c>
      <c r="U764" s="11" t="s">
        <v>9341</v>
      </c>
      <c r="V764" s="17" t="s">
        <v>9342</v>
      </c>
      <c r="W764" s="17" t="s">
        <v>110</v>
      </c>
      <c r="X764" s="70">
        <v>185.5</v>
      </c>
      <c r="Y764" s="70">
        <v>159.09</v>
      </c>
      <c r="Z764" s="13">
        <v>27107</v>
      </c>
      <c r="AA764" s="13">
        <v>27111</v>
      </c>
      <c r="AB764" s="13"/>
      <c r="AC764" s="13">
        <v>27214</v>
      </c>
      <c r="AD764" s="86">
        <v>15250</v>
      </c>
      <c r="AE764" s="86">
        <v>15250</v>
      </c>
      <c r="AF764" s="70" t="s">
        <v>988</v>
      </c>
      <c r="AG764" s="17" t="s">
        <v>9343</v>
      </c>
      <c r="AH764" s="17" t="s">
        <v>94</v>
      </c>
      <c r="AI764" s="70" t="s">
        <v>9344</v>
      </c>
      <c r="AJ764" s="17" t="s">
        <v>94</v>
      </c>
      <c r="AK764" s="17" t="s">
        <v>825</v>
      </c>
      <c r="AL764" s="17" t="s">
        <v>825</v>
      </c>
      <c r="AM764" s="17" t="s">
        <v>95</v>
      </c>
      <c r="AN764" s="17" t="s">
        <v>9345</v>
      </c>
      <c r="AO764" s="17" t="s">
        <v>98</v>
      </c>
      <c r="AP764" s="17" t="s">
        <v>98</v>
      </c>
      <c r="AQ764" s="17" t="s">
        <v>98</v>
      </c>
      <c r="AR764" s="17" t="s">
        <v>9346</v>
      </c>
      <c r="AS764" s="17" t="s">
        <v>9347</v>
      </c>
      <c r="AT764" s="17">
        <v>238</v>
      </c>
      <c r="AU764" s="30" t="s">
        <v>9348</v>
      </c>
      <c r="AV764" s="14">
        <v>12304</v>
      </c>
      <c r="AW764" s="74"/>
      <c r="AX764" s="1"/>
      <c r="AY764" s="17" t="s">
        <v>101</v>
      </c>
    </row>
    <row r="765" spans="1:51" ht="12.75" customHeight="1" x14ac:dyDescent="0.25">
      <c r="A765" s="5">
        <v>732</v>
      </c>
      <c r="B765" s="9">
        <v>732</v>
      </c>
      <c r="C765" s="9" t="s">
        <v>9349</v>
      </c>
      <c r="D765" s="57" t="str">
        <f>HYPERLINK("http://prodenv.dep.state.fl.us/DepNexus/public/electronic-documents/OG_732/facility!search","OG_732_Docs")</f>
        <v>OG_732_Docs</v>
      </c>
      <c r="E765" s="57" t="str">
        <f>HYPERLINK("https://ca.dep.state.fl.us/mapdirect/?focus=oilandgas&amp;zoom=query&amp;querytype=oilandgas&amp;queryvalues=OG_732","OG_732_Map")</f>
        <v>OG_732_Map</v>
      </c>
      <c r="F765" s="1" t="s">
        <v>2831</v>
      </c>
      <c r="G765" s="1" t="s">
        <v>79</v>
      </c>
      <c r="H765" s="1" t="s">
        <v>7836</v>
      </c>
      <c r="I765" s="1" t="s">
        <v>9350</v>
      </c>
      <c r="J765" s="17" t="s">
        <v>82</v>
      </c>
      <c r="K765" s="17" t="s">
        <v>83</v>
      </c>
      <c r="L765" s="17"/>
      <c r="M765" s="17" t="s">
        <v>101</v>
      </c>
      <c r="N765" s="52" t="s">
        <v>9351</v>
      </c>
      <c r="O765" s="17" t="s">
        <v>86</v>
      </c>
      <c r="P765" s="17" t="s">
        <v>86</v>
      </c>
      <c r="Q765" s="81" t="s">
        <v>9352</v>
      </c>
      <c r="R765" s="11">
        <v>27.438365999999998</v>
      </c>
      <c r="S765" s="11">
        <v>-80.837873000000002</v>
      </c>
      <c r="T765" s="11" t="s">
        <v>9353</v>
      </c>
      <c r="U765" s="11" t="s">
        <v>9354</v>
      </c>
      <c r="V765" s="17" t="s">
        <v>9355</v>
      </c>
      <c r="W765" s="17" t="s">
        <v>110</v>
      </c>
      <c r="X765" s="70">
        <v>86</v>
      </c>
      <c r="Y765" s="70">
        <v>69</v>
      </c>
      <c r="Z765" s="13">
        <v>27121</v>
      </c>
      <c r="AA765" s="13">
        <v>27178</v>
      </c>
      <c r="AB765" s="13">
        <v>27273</v>
      </c>
      <c r="AC765" s="13">
        <v>27273</v>
      </c>
      <c r="AD765" s="86">
        <v>10774</v>
      </c>
      <c r="AE765" s="86">
        <v>10774</v>
      </c>
      <c r="AF765" s="70" t="s">
        <v>9356</v>
      </c>
      <c r="AG765" s="17" t="s">
        <v>9357</v>
      </c>
      <c r="AH765" s="17" t="s">
        <v>9358</v>
      </c>
      <c r="AI765" s="70" t="s">
        <v>9359</v>
      </c>
      <c r="AJ765" s="17" t="s">
        <v>94</v>
      </c>
      <c r="AK765" s="17" t="s">
        <v>95</v>
      </c>
      <c r="AL765" s="17" t="s">
        <v>9360</v>
      </c>
      <c r="AM765" s="17" t="s">
        <v>94</v>
      </c>
      <c r="AN765" s="17" t="s">
        <v>94</v>
      </c>
      <c r="AO765" s="17" t="s">
        <v>98</v>
      </c>
      <c r="AP765" s="17" t="s">
        <v>98</v>
      </c>
      <c r="AQ765" s="17" t="s">
        <v>98</v>
      </c>
      <c r="AR765" s="17" t="s">
        <v>94</v>
      </c>
      <c r="AS765" s="17" t="s">
        <v>9361</v>
      </c>
      <c r="AT765" s="17">
        <v>190</v>
      </c>
      <c r="AU765" s="30" t="s">
        <v>9362</v>
      </c>
      <c r="AV765" s="14">
        <v>12542</v>
      </c>
      <c r="AW765" s="74"/>
      <c r="AX765" s="1"/>
      <c r="AY765" s="17" t="s">
        <v>101</v>
      </c>
    </row>
    <row r="766" spans="1:51" ht="12.75" customHeight="1" x14ac:dyDescent="0.25">
      <c r="A766" s="5">
        <v>733</v>
      </c>
      <c r="B766" s="9">
        <v>733</v>
      </c>
      <c r="C766" s="9" t="s">
        <v>9363</v>
      </c>
      <c r="D766" s="57" t="str">
        <f>HYPERLINK("http://prodenv.dep.state.fl.us/DepNexus/public/electronic-documents/OG_733/facility!search","OG_733_Docs")</f>
        <v>OG_733_Docs</v>
      </c>
      <c r="E766" s="57" t="str">
        <f>HYPERLINK("https://ca.dep.state.fl.us/mapdirect/?focus=oilandgas&amp;zoom=query&amp;querytype=oilandgas&amp;queryvalues=OG_733","OG_733_Map")</f>
        <v>OG_733_Map</v>
      </c>
      <c r="F766" s="1" t="s">
        <v>265</v>
      </c>
      <c r="G766" s="1" t="s">
        <v>7239</v>
      </c>
      <c r="H766" s="1" t="s">
        <v>8318</v>
      </c>
      <c r="I766" s="1" t="s">
        <v>9364</v>
      </c>
      <c r="J766" s="17" t="s">
        <v>268</v>
      </c>
      <c r="K766" s="17" t="s">
        <v>5048</v>
      </c>
      <c r="L766" s="17"/>
      <c r="M766" s="17"/>
      <c r="N766" s="52" t="s">
        <v>3193</v>
      </c>
      <c r="O766" s="17" t="s">
        <v>270</v>
      </c>
      <c r="P766" s="17" t="s">
        <v>3395</v>
      </c>
      <c r="Q766" s="81" t="s">
        <v>9365</v>
      </c>
      <c r="R766" s="11">
        <v>26.231836000000001</v>
      </c>
      <c r="S766" s="11">
        <v>-81.287576999999999</v>
      </c>
      <c r="T766" s="11" t="s">
        <v>9366</v>
      </c>
      <c r="U766" s="11" t="s">
        <v>9367</v>
      </c>
      <c r="V766" s="17" t="s">
        <v>9368</v>
      </c>
      <c r="W766" s="17" t="s">
        <v>9369</v>
      </c>
      <c r="X766" s="70">
        <v>34</v>
      </c>
      <c r="Y766" s="70">
        <v>16</v>
      </c>
      <c r="Z766" s="13">
        <v>27135</v>
      </c>
      <c r="AA766" s="13">
        <v>27184</v>
      </c>
      <c r="AB766" s="13">
        <v>27456</v>
      </c>
      <c r="AC766" s="13">
        <v>37705</v>
      </c>
      <c r="AD766" s="86">
        <v>11675</v>
      </c>
      <c r="AE766" s="86">
        <v>12516</v>
      </c>
      <c r="AF766" s="70" t="s">
        <v>9070</v>
      </c>
      <c r="AG766" s="17" t="s">
        <v>9370</v>
      </c>
      <c r="AH766" s="17" t="s">
        <v>9371</v>
      </c>
      <c r="AI766" s="70" t="s">
        <v>9372</v>
      </c>
      <c r="AJ766" s="17" t="s">
        <v>3803</v>
      </c>
      <c r="AK766" s="17" t="s">
        <v>95</v>
      </c>
      <c r="AL766" s="17" t="s">
        <v>9373</v>
      </c>
      <c r="AM766" s="17" t="s">
        <v>95</v>
      </c>
      <c r="AN766" s="17" t="s">
        <v>86</v>
      </c>
      <c r="AO766" s="17" t="s">
        <v>9374</v>
      </c>
      <c r="AP766" s="17">
        <v>0</v>
      </c>
      <c r="AQ766" s="17" t="s">
        <v>9375</v>
      </c>
      <c r="AR766" s="17" t="s">
        <v>9376</v>
      </c>
      <c r="AS766" s="17" t="s">
        <v>9377</v>
      </c>
      <c r="AT766" s="17"/>
      <c r="AU766" s="30" t="s">
        <v>9378</v>
      </c>
      <c r="AV766" s="14">
        <v>12379</v>
      </c>
      <c r="AW766" s="74">
        <v>314435</v>
      </c>
      <c r="AX766" s="1"/>
      <c r="AY766" s="17" t="s">
        <v>101</v>
      </c>
    </row>
    <row r="767" spans="1:51" ht="12.75" customHeight="1" x14ac:dyDescent="0.25">
      <c r="A767" s="5">
        <v>734</v>
      </c>
      <c r="B767" s="9">
        <v>734</v>
      </c>
      <c r="C767" s="9" t="s">
        <v>9379</v>
      </c>
      <c r="D767" s="57" t="str">
        <f>HYPERLINK("http://prodenv.dep.state.fl.us/DepNexus/public/electronic-documents/OG_734/facility!search","OG_734_Docs")</f>
        <v>OG_734_Docs</v>
      </c>
      <c r="E767" s="57" t="str">
        <f>HYPERLINK("https://ca.dep.state.fl.us/mapdirect/?focus=oilandgas&amp;zoom=query&amp;querytype=oilandgas&amp;queryvalues=OG_734","OG_734_Map")</f>
        <v>OG_734_Map</v>
      </c>
      <c r="F767" s="1" t="s">
        <v>2026</v>
      </c>
      <c r="G767" s="1" t="s">
        <v>4496</v>
      </c>
      <c r="H767" s="1" t="s">
        <v>8261</v>
      </c>
      <c r="I767" s="1" t="s">
        <v>9380</v>
      </c>
      <c r="J767" s="17" t="s">
        <v>207</v>
      </c>
      <c r="K767" s="17" t="s">
        <v>208</v>
      </c>
      <c r="L767" s="17"/>
      <c r="M767" s="17" t="s">
        <v>207</v>
      </c>
      <c r="N767" s="52" t="s">
        <v>86</v>
      </c>
      <c r="O767" s="17" t="s">
        <v>86</v>
      </c>
      <c r="P767" s="17" t="s">
        <v>86</v>
      </c>
      <c r="Q767" s="81" t="s">
        <v>9381</v>
      </c>
      <c r="R767" s="11">
        <v>26.580957000000001</v>
      </c>
      <c r="S767" s="11">
        <v>-81.613960000000006</v>
      </c>
      <c r="T767" s="11" t="s">
        <v>9382</v>
      </c>
      <c r="U767" s="11" t="s">
        <v>9383</v>
      </c>
      <c r="V767" s="17" t="s">
        <v>9384</v>
      </c>
      <c r="W767" s="17" t="s">
        <v>9385</v>
      </c>
      <c r="X767" s="70"/>
      <c r="Y767" s="70"/>
      <c r="Z767" s="13">
        <v>27156</v>
      </c>
      <c r="AA767" s="13"/>
      <c r="AB767" s="13"/>
      <c r="AC767" s="13"/>
      <c r="AD767" s="86"/>
      <c r="AE767" s="70"/>
      <c r="AF767" s="70" t="s">
        <v>207</v>
      </c>
      <c r="AG767" s="14" t="s">
        <v>207</v>
      </c>
      <c r="AH767" s="14" t="s">
        <v>207</v>
      </c>
      <c r="AI767" s="70" t="s">
        <v>207</v>
      </c>
      <c r="AJ767" s="14" t="s">
        <v>207</v>
      </c>
      <c r="AK767" s="14" t="s">
        <v>207</v>
      </c>
      <c r="AL767" s="14" t="s">
        <v>207</v>
      </c>
      <c r="AM767" s="14" t="s">
        <v>207</v>
      </c>
      <c r="AN767" s="14" t="s">
        <v>207</v>
      </c>
      <c r="AO767" s="14" t="s">
        <v>207</v>
      </c>
      <c r="AP767" s="14" t="s">
        <v>207</v>
      </c>
      <c r="AQ767" s="14" t="s">
        <v>207</v>
      </c>
      <c r="AR767" s="14" t="s">
        <v>207</v>
      </c>
      <c r="AS767" s="14" t="s">
        <v>207</v>
      </c>
      <c r="AT767" s="14" t="s">
        <v>207</v>
      </c>
      <c r="AU767" s="30" t="s">
        <v>9386</v>
      </c>
      <c r="AV767" s="14" t="s">
        <v>207</v>
      </c>
      <c r="AW767" s="74"/>
      <c r="AX767" s="1"/>
      <c r="AY767" s="17" t="s">
        <v>101</v>
      </c>
    </row>
    <row r="768" spans="1:51" ht="15" customHeight="1" x14ac:dyDescent="0.25">
      <c r="A768" s="5">
        <v>735</v>
      </c>
      <c r="B768" s="9">
        <v>735</v>
      </c>
      <c r="C768" s="9" t="s">
        <v>9387</v>
      </c>
      <c r="D768" s="57" t="str">
        <f>HYPERLINK("http://prodenv.dep.state.fl.us/DepNexus/public/electronic-documents/OG_735/facility!search","OG_735_Docs")</f>
        <v>OG_735_Docs</v>
      </c>
      <c r="E768" s="57" t="str">
        <f>HYPERLINK("https://ca.dep.state.fl.us/mapdirect/?focus=oilandgas&amp;zoom=query&amp;querytype=oilandgas&amp;queryvalues=OG_735","OG_735_Map")</f>
        <v>OG_735_Map</v>
      </c>
      <c r="F768" s="1" t="s">
        <v>2026</v>
      </c>
      <c r="G768" s="1" t="s">
        <v>4496</v>
      </c>
      <c r="H768" s="1" t="s">
        <v>8318</v>
      </c>
      <c r="I768" s="1" t="s">
        <v>9388</v>
      </c>
      <c r="J768" s="17" t="s">
        <v>268</v>
      </c>
      <c r="K768" s="17" t="s">
        <v>5525</v>
      </c>
      <c r="L768" s="17"/>
      <c r="M768" s="17" t="s">
        <v>101</v>
      </c>
      <c r="N768" s="52" t="s">
        <v>9389</v>
      </c>
      <c r="O768" s="17" t="s">
        <v>86</v>
      </c>
      <c r="P768" s="17" t="s">
        <v>86</v>
      </c>
      <c r="Q768" s="81" t="s">
        <v>9390</v>
      </c>
      <c r="R768" s="11">
        <v>26.563815000000002</v>
      </c>
      <c r="S768" s="11">
        <v>-81.566958</v>
      </c>
      <c r="T768" s="11" t="s">
        <v>9391</v>
      </c>
      <c r="U768" s="11" t="s">
        <v>9392</v>
      </c>
      <c r="V768" s="17" t="s">
        <v>9393</v>
      </c>
      <c r="W768" s="17" t="s">
        <v>9394</v>
      </c>
      <c r="X768" s="70">
        <v>47</v>
      </c>
      <c r="Y768" s="70">
        <v>31</v>
      </c>
      <c r="Z768" s="13">
        <v>27156</v>
      </c>
      <c r="AA768" s="13">
        <v>27169</v>
      </c>
      <c r="AB768" s="13">
        <v>27330</v>
      </c>
      <c r="AC768" s="13">
        <v>37347</v>
      </c>
      <c r="AD768" s="86">
        <v>11706</v>
      </c>
      <c r="AE768" s="86">
        <v>12000</v>
      </c>
      <c r="AF768" s="70" t="s">
        <v>9395</v>
      </c>
      <c r="AG768" s="17" t="s">
        <v>9396</v>
      </c>
      <c r="AH768" s="17" t="s">
        <v>9397</v>
      </c>
      <c r="AI768" s="70" t="s">
        <v>9398</v>
      </c>
      <c r="AJ768" s="17" t="s">
        <v>8310</v>
      </c>
      <c r="AK768" s="17" t="s">
        <v>94</v>
      </c>
      <c r="AL768" s="17" t="s">
        <v>9399</v>
      </c>
      <c r="AM768" s="17" t="s">
        <v>825</v>
      </c>
      <c r="AN768" s="17" t="s">
        <v>86</v>
      </c>
      <c r="AO768" s="17" t="s">
        <v>9400</v>
      </c>
      <c r="AP768" s="17" t="s">
        <v>94</v>
      </c>
      <c r="AQ768" s="17" t="s">
        <v>9401</v>
      </c>
      <c r="AR768" s="17" t="s">
        <v>9402</v>
      </c>
      <c r="AS768" s="17" t="s">
        <v>9403</v>
      </c>
      <c r="AT768" s="17">
        <v>198</v>
      </c>
      <c r="AU768" s="30" t="s">
        <v>9404</v>
      </c>
      <c r="AV768" s="14">
        <v>12507</v>
      </c>
      <c r="AW768" s="74"/>
      <c r="AX768" s="1"/>
      <c r="AY768" s="17" t="s">
        <v>101</v>
      </c>
    </row>
    <row r="769" spans="1:51" ht="12.75" customHeight="1" x14ac:dyDescent="0.25">
      <c r="A769" s="5">
        <v>736</v>
      </c>
      <c r="B769" s="9">
        <v>736</v>
      </c>
      <c r="C769" s="9" t="s">
        <v>9405</v>
      </c>
      <c r="D769" s="57" t="str">
        <f>HYPERLINK("http://prodenv.dep.state.fl.us/DepNexus/public/electronic-documents/OG_736/facility!search","OG_736_Docs")</f>
        <v>OG_736_Docs</v>
      </c>
      <c r="E769" s="57" t="str">
        <f>HYPERLINK("https://ca.dep.state.fl.us/mapdirect/?focus=oilandgas&amp;zoom=query&amp;querytype=oilandgas&amp;queryvalues=OG_736","OG_736_Map")</f>
        <v>OG_736_Map</v>
      </c>
      <c r="F769" s="1" t="s">
        <v>265</v>
      </c>
      <c r="G769" s="1" t="s">
        <v>79</v>
      </c>
      <c r="H769" s="1" t="s">
        <v>6141</v>
      </c>
      <c r="I769" s="1" t="s">
        <v>9406</v>
      </c>
      <c r="J769" s="17" t="s">
        <v>82</v>
      </c>
      <c r="K769" s="17" t="s">
        <v>83</v>
      </c>
      <c r="L769" s="17"/>
      <c r="M769" s="17" t="s">
        <v>101</v>
      </c>
      <c r="N769" s="52" t="s">
        <v>3956</v>
      </c>
      <c r="O769" s="17" t="s">
        <v>270</v>
      </c>
      <c r="P769" s="17" t="s">
        <v>86</v>
      </c>
      <c r="Q769" s="81" t="s">
        <v>9407</v>
      </c>
      <c r="R769" s="11">
        <v>26.209430999999999</v>
      </c>
      <c r="S769" s="11">
        <v>-81.334266</v>
      </c>
      <c r="T769" s="11" t="s">
        <v>9408</v>
      </c>
      <c r="U769" s="11" t="s">
        <v>9409</v>
      </c>
      <c r="V769" s="17" t="s">
        <v>9410</v>
      </c>
      <c r="W769" s="17" t="s">
        <v>110</v>
      </c>
      <c r="X769" s="70">
        <v>32</v>
      </c>
      <c r="Y769" s="70">
        <v>15</v>
      </c>
      <c r="Z769" s="13">
        <v>27156</v>
      </c>
      <c r="AA769" s="13">
        <v>27339</v>
      </c>
      <c r="AB769" s="13"/>
      <c r="AC769" s="13">
        <v>27395</v>
      </c>
      <c r="AD769" s="86">
        <v>11924</v>
      </c>
      <c r="AE769" s="86">
        <v>11924</v>
      </c>
      <c r="AF769" s="70" t="s">
        <v>9411</v>
      </c>
      <c r="AG769" s="17" t="s">
        <v>9412</v>
      </c>
      <c r="AH769" s="17" t="s">
        <v>9413</v>
      </c>
      <c r="AI769" s="70" t="s">
        <v>94</v>
      </c>
      <c r="AJ769" s="17" t="s">
        <v>94</v>
      </c>
      <c r="AK769" s="17" t="s">
        <v>95</v>
      </c>
      <c r="AL769" s="17" t="s">
        <v>8362</v>
      </c>
      <c r="AM769" s="17" t="s">
        <v>94</v>
      </c>
      <c r="AN769" s="17" t="s">
        <v>94</v>
      </c>
      <c r="AO769" s="17" t="s">
        <v>98</v>
      </c>
      <c r="AP769" s="17" t="s">
        <v>98</v>
      </c>
      <c r="AQ769" s="17" t="s">
        <v>98</v>
      </c>
      <c r="AR769" s="17" t="s">
        <v>94</v>
      </c>
      <c r="AS769" s="17" t="s">
        <v>9414</v>
      </c>
      <c r="AT769" s="17">
        <v>195</v>
      </c>
      <c r="AU769" s="30" t="s">
        <v>9415</v>
      </c>
      <c r="AV769" s="14">
        <v>12645</v>
      </c>
      <c r="AW769" s="74"/>
      <c r="AX769" s="1"/>
      <c r="AY769" s="17" t="s">
        <v>101</v>
      </c>
    </row>
    <row r="770" spans="1:51" ht="15" customHeight="1" x14ac:dyDescent="0.25">
      <c r="A770" s="5">
        <v>737</v>
      </c>
      <c r="B770" s="9">
        <v>737</v>
      </c>
      <c r="C770" s="9" t="s">
        <v>9416</v>
      </c>
      <c r="D770" s="57" t="str">
        <f>HYPERLINK("http://prodenv.dep.state.fl.us/DepNexus/public/electronic-documents/OG_737/facility!search","OG_737_Docs")</f>
        <v>OG_737_Docs</v>
      </c>
      <c r="E770" s="57" t="str">
        <f>HYPERLINK("https://ca.dep.state.fl.us/mapdirect/?focus=oilandgas&amp;zoom=query&amp;querytype=oilandgas&amp;queryvalues=OG_737","OG_737_Map")</f>
        <v>OG_737_Map</v>
      </c>
      <c r="F770" s="1" t="s">
        <v>2354</v>
      </c>
      <c r="G770" s="1" t="s">
        <v>79</v>
      </c>
      <c r="H770" s="1" t="s">
        <v>8093</v>
      </c>
      <c r="I770" s="1" t="s">
        <v>9417</v>
      </c>
      <c r="J770" s="17" t="s">
        <v>207</v>
      </c>
      <c r="K770" s="17" t="s">
        <v>208</v>
      </c>
      <c r="L770" s="17"/>
      <c r="M770" s="17" t="s">
        <v>207</v>
      </c>
      <c r="N770" s="52" t="s">
        <v>86</v>
      </c>
      <c r="O770" s="17" t="s">
        <v>86</v>
      </c>
      <c r="P770" s="17" t="s">
        <v>86</v>
      </c>
      <c r="Q770" s="81" t="s">
        <v>9418</v>
      </c>
      <c r="R770" s="11">
        <v>28.320504</v>
      </c>
      <c r="S770" s="11">
        <v>-82.133342999999996</v>
      </c>
      <c r="T770" s="11" t="s">
        <v>9419</v>
      </c>
      <c r="U770" s="11" t="s">
        <v>9420</v>
      </c>
      <c r="V770" s="17" t="s">
        <v>9421</v>
      </c>
      <c r="W770" s="17" t="s">
        <v>110</v>
      </c>
      <c r="X770" s="70"/>
      <c r="Y770" s="70"/>
      <c r="Z770" s="13">
        <v>27170</v>
      </c>
      <c r="AA770" s="13"/>
      <c r="AB770" s="13"/>
      <c r="AC770" s="13"/>
      <c r="AD770" s="86"/>
      <c r="AE770" s="70"/>
      <c r="AF770" s="70" t="s">
        <v>207</v>
      </c>
      <c r="AG770" s="14" t="s">
        <v>207</v>
      </c>
      <c r="AH770" s="14" t="s">
        <v>207</v>
      </c>
      <c r="AI770" s="70" t="s">
        <v>207</v>
      </c>
      <c r="AJ770" s="14" t="s">
        <v>207</v>
      </c>
      <c r="AK770" s="14" t="s">
        <v>207</v>
      </c>
      <c r="AL770" s="14" t="s">
        <v>207</v>
      </c>
      <c r="AM770" s="14" t="s">
        <v>207</v>
      </c>
      <c r="AN770" s="14" t="s">
        <v>207</v>
      </c>
      <c r="AO770" s="14" t="s">
        <v>207</v>
      </c>
      <c r="AP770" s="14" t="s">
        <v>207</v>
      </c>
      <c r="AQ770" s="14" t="s">
        <v>207</v>
      </c>
      <c r="AR770" s="14" t="s">
        <v>207</v>
      </c>
      <c r="AS770" s="14" t="s">
        <v>207</v>
      </c>
      <c r="AT770" s="14" t="s">
        <v>207</v>
      </c>
      <c r="AU770" s="30" t="s">
        <v>9422</v>
      </c>
      <c r="AV770" s="14" t="s">
        <v>207</v>
      </c>
      <c r="AW770" s="74"/>
      <c r="AX770" s="1"/>
      <c r="AY770" s="17" t="s">
        <v>101</v>
      </c>
    </row>
    <row r="771" spans="1:51" ht="12.75" customHeight="1" x14ac:dyDescent="0.25">
      <c r="A771" s="5">
        <v>738</v>
      </c>
      <c r="B771" s="9">
        <v>738</v>
      </c>
      <c r="C771" s="9" t="s">
        <v>9423</v>
      </c>
      <c r="D771" s="57" t="str">
        <f>HYPERLINK("http://prodenv.dep.state.fl.us/DepNexus/public/electronic-documents/OG_738/facility!search","OG_738_Docs")</f>
        <v>OG_738_Docs</v>
      </c>
      <c r="E771" s="57" t="str">
        <f>HYPERLINK("https://ca.dep.state.fl.us/mapdirect/?focus=oilandgas&amp;zoom=query&amp;querytype=oilandgas&amp;queryvalues=OG_738","OG_738_Map")</f>
        <v>OG_738_Map</v>
      </c>
      <c r="F771" s="1" t="s">
        <v>971</v>
      </c>
      <c r="G771" s="1" t="s">
        <v>79</v>
      </c>
      <c r="H771" s="1" t="s">
        <v>9237</v>
      </c>
      <c r="I771" s="1" t="s">
        <v>393</v>
      </c>
      <c r="J771" s="17" t="s">
        <v>82</v>
      </c>
      <c r="K771" s="17" t="s">
        <v>83</v>
      </c>
      <c r="L771" s="17"/>
      <c r="M771" s="17"/>
      <c r="N771" s="52" t="s">
        <v>4735</v>
      </c>
      <c r="O771" s="17" t="s">
        <v>86</v>
      </c>
      <c r="P771" s="17" t="s">
        <v>86</v>
      </c>
      <c r="Q771" s="81" t="s">
        <v>9424</v>
      </c>
      <c r="R771" s="11">
        <v>30.762771000000001</v>
      </c>
      <c r="S771" s="11">
        <v>-85.613902999999993</v>
      </c>
      <c r="T771" s="11" t="s">
        <v>9425</v>
      </c>
      <c r="U771" s="11" t="s">
        <v>9426</v>
      </c>
      <c r="V771" s="17" t="s">
        <v>9427</v>
      </c>
      <c r="W771" s="17" t="s">
        <v>110</v>
      </c>
      <c r="X771" s="70">
        <v>84</v>
      </c>
      <c r="Y771" s="70">
        <v>60</v>
      </c>
      <c r="Z771" s="13">
        <v>27170</v>
      </c>
      <c r="AA771" s="13">
        <v>27189</v>
      </c>
      <c r="AB771" s="13"/>
      <c r="AC771" s="13">
        <v>27283</v>
      </c>
      <c r="AD771" s="86">
        <v>14044</v>
      </c>
      <c r="AE771" s="86">
        <v>14044</v>
      </c>
      <c r="AF771" s="70" t="s">
        <v>1746</v>
      </c>
      <c r="AG771" s="17" t="s">
        <v>9428</v>
      </c>
      <c r="AH771" s="17" t="s">
        <v>94</v>
      </c>
      <c r="AI771" s="70" t="s">
        <v>94</v>
      </c>
      <c r="AJ771" s="17" t="s">
        <v>94</v>
      </c>
      <c r="AK771" s="17" t="s">
        <v>95</v>
      </c>
      <c r="AL771" s="17" t="s">
        <v>86</v>
      </c>
      <c r="AM771" s="17" t="s">
        <v>825</v>
      </c>
      <c r="AN771" s="17" t="s">
        <v>94</v>
      </c>
      <c r="AO771" s="17" t="s">
        <v>98</v>
      </c>
      <c r="AP771" s="17" t="s">
        <v>98</v>
      </c>
      <c r="AQ771" s="17" t="s">
        <v>98</v>
      </c>
      <c r="AR771" s="17" t="s">
        <v>94</v>
      </c>
      <c r="AS771" s="17" t="s">
        <v>9429</v>
      </c>
      <c r="AT771" s="17"/>
      <c r="AU771" s="30" t="s">
        <v>9430</v>
      </c>
      <c r="AV771" s="14">
        <v>12398</v>
      </c>
      <c r="AW771" s="74"/>
      <c r="AX771" s="1"/>
      <c r="AY771" s="17" t="s">
        <v>101</v>
      </c>
    </row>
    <row r="772" spans="1:51" ht="12.75" customHeight="1" x14ac:dyDescent="0.25">
      <c r="A772" s="5">
        <v>739</v>
      </c>
      <c r="B772" s="9">
        <v>739</v>
      </c>
      <c r="C772" s="9" t="s">
        <v>9431</v>
      </c>
      <c r="D772" s="57" t="str">
        <f>HYPERLINK("http://prodenv.dep.state.fl.us/DepNexus/public/electronic-documents/OG_739/facility!search","OG_739_Docs")</f>
        <v>OG_739_Docs</v>
      </c>
      <c r="E772" s="57" t="str">
        <f>HYPERLINK("https://ca.dep.state.fl.us/mapdirect/?focus=oilandgas&amp;zoom=query&amp;querytype=oilandgas&amp;queryvalues=OG_739","OG_739_Map")</f>
        <v>OG_739_Map</v>
      </c>
      <c r="F772" s="1" t="s">
        <v>1797</v>
      </c>
      <c r="G772" s="1" t="s">
        <v>1798</v>
      </c>
      <c r="H772" s="1" t="s">
        <v>6515</v>
      </c>
      <c r="I772" s="1" t="s">
        <v>9432</v>
      </c>
      <c r="J772" s="17" t="s">
        <v>82</v>
      </c>
      <c r="K772" s="17" t="s">
        <v>83</v>
      </c>
      <c r="L772" s="17"/>
      <c r="M772" s="17"/>
      <c r="N772" s="52" t="s">
        <v>5949</v>
      </c>
      <c r="O772" s="17" t="s">
        <v>86</v>
      </c>
      <c r="P772" s="17" t="s">
        <v>86</v>
      </c>
      <c r="Q772" s="81" t="s">
        <v>9433</v>
      </c>
      <c r="R772" s="11">
        <v>30.978273999999999</v>
      </c>
      <c r="S772" s="11">
        <v>-87.124516999999997</v>
      </c>
      <c r="T772" s="11" t="s">
        <v>9434</v>
      </c>
      <c r="U772" s="11" t="s">
        <v>9435</v>
      </c>
      <c r="V772" s="17" t="s">
        <v>9436</v>
      </c>
      <c r="W772" s="17" t="s">
        <v>110</v>
      </c>
      <c r="X772" s="70">
        <v>289</v>
      </c>
      <c r="Y772" s="70">
        <v>257</v>
      </c>
      <c r="Z772" s="13">
        <v>27170</v>
      </c>
      <c r="AA772" s="13">
        <v>27170</v>
      </c>
      <c r="AB772" s="13">
        <v>27226</v>
      </c>
      <c r="AC772" s="13">
        <v>27226</v>
      </c>
      <c r="AD772" s="86">
        <v>15315</v>
      </c>
      <c r="AE772" s="86">
        <v>15315</v>
      </c>
      <c r="AF772" s="70" t="s">
        <v>9437</v>
      </c>
      <c r="AG772" s="17" t="s">
        <v>9438</v>
      </c>
      <c r="AH772" s="17" t="s">
        <v>94</v>
      </c>
      <c r="AI772" s="70" t="s">
        <v>94</v>
      </c>
      <c r="AJ772" s="17" t="s">
        <v>94</v>
      </c>
      <c r="AK772" s="17" t="s">
        <v>95</v>
      </c>
      <c r="AL772" s="17" t="s">
        <v>9439</v>
      </c>
      <c r="AM772" s="17" t="s">
        <v>94</v>
      </c>
      <c r="AN772" s="17" t="s">
        <v>86</v>
      </c>
      <c r="AO772" s="17" t="s">
        <v>98</v>
      </c>
      <c r="AP772" s="17" t="s">
        <v>98</v>
      </c>
      <c r="AQ772" s="17" t="s">
        <v>98</v>
      </c>
      <c r="AR772" s="17" t="s">
        <v>94</v>
      </c>
      <c r="AS772" s="17" t="s">
        <v>9440</v>
      </c>
      <c r="AT772" s="17">
        <v>254</v>
      </c>
      <c r="AU772" s="30" t="s">
        <v>9441</v>
      </c>
      <c r="AV772" s="14">
        <v>12506</v>
      </c>
      <c r="AW772" s="74"/>
      <c r="AX772" s="1"/>
      <c r="AY772" s="17" t="s">
        <v>101</v>
      </c>
    </row>
    <row r="773" spans="1:51" ht="12.75" customHeight="1" x14ac:dyDescent="0.25">
      <c r="A773" s="5">
        <v>740</v>
      </c>
      <c r="B773" s="9">
        <v>740</v>
      </c>
      <c r="C773" s="9" t="s">
        <v>9442</v>
      </c>
      <c r="D773" s="57" t="str">
        <f>HYPERLINK("http://prodenv.dep.state.fl.us/DepNexus/public/electronic-documents/OG_740/facility!search","OG_740_Docs")</f>
        <v>OG_740_Docs</v>
      </c>
      <c r="E773" s="57" t="str">
        <f>HYPERLINK("https://ca.dep.state.fl.us/mapdirect/?focus=oilandgas&amp;zoom=query&amp;querytype=oilandgas&amp;queryvalues=OG_740","OG_740_Map")</f>
        <v>OG_740_Map</v>
      </c>
      <c r="F773" s="1" t="s">
        <v>665</v>
      </c>
      <c r="G773" s="1" t="s">
        <v>79</v>
      </c>
      <c r="H773" s="1" t="s">
        <v>7836</v>
      </c>
      <c r="I773" s="1" t="s">
        <v>9443</v>
      </c>
      <c r="J773" s="17" t="s">
        <v>82</v>
      </c>
      <c r="K773" s="17" t="s">
        <v>83</v>
      </c>
      <c r="L773" s="17"/>
      <c r="M773" s="17" t="s">
        <v>101</v>
      </c>
      <c r="N773" s="52" t="s">
        <v>9444</v>
      </c>
      <c r="O773" s="17" t="s">
        <v>86</v>
      </c>
      <c r="P773" s="17" t="s">
        <v>86</v>
      </c>
      <c r="Q773" s="81" t="s">
        <v>9445</v>
      </c>
      <c r="R773" s="11">
        <v>26.496956999999998</v>
      </c>
      <c r="S773" s="11">
        <v>-80.871144000000001</v>
      </c>
      <c r="T773" s="11" t="s">
        <v>9446</v>
      </c>
      <c r="U773" s="11" t="s">
        <v>9447</v>
      </c>
      <c r="V773" s="17" t="s">
        <v>9448</v>
      </c>
      <c r="W773" s="17" t="s">
        <v>110</v>
      </c>
      <c r="X773" s="70">
        <v>14</v>
      </c>
      <c r="Y773" s="70">
        <v>25</v>
      </c>
      <c r="Z773" s="13">
        <v>27184</v>
      </c>
      <c r="AA773" s="13">
        <v>27291</v>
      </c>
      <c r="AB773" s="13">
        <v>27445</v>
      </c>
      <c r="AC773" s="13">
        <v>27445</v>
      </c>
      <c r="AD773" s="86">
        <v>16848</v>
      </c>
      <c r="AE773" s="86">
        <v>16848</v>
      </c>
      <c r="AF773" s="70" t="s">
        <v>9449</v>
      </c>
      <c r="AG773" s="17" t="s">
        <v>9450</v>
      </c>
      <c r="AH773" s="17" t="s">
        <v>9451</v>
      </c>
      <c r="AI773" s="70" t="s">
        <v>94</v>
      </c>
      <c r="AJ773" s="17" t="s">
        <v>94</v>
      </c>
      <c r="AK773" s="17" t="s">
        <v>95</v>
      </c>
      <c r="AL773" s="17" t="s">
        <v>9452</v>
      </c>
      <c r="AM773" s="17" t="s">
        <v>94</v>
      </c>
      <c r="AN773" s="17" t="s">
        <v>94</v>
      </c>
      <c r="AO773" s="17" t="s">
        <v>98</v>
      </c>
      <c r="AP773" s="17" t="s">
        <v>98</v>
      </c>
      <c r="AQ773" s="17" t="s">
        <v>98</v>
      </c>
      <c r="AR773" s="17" t="s">
        <v>94</v>
      </c>
      <c r="AS773" s="17" t="s">
        <v>9453</v>
      </c>
      <c r="AT773" s="17">
        <v>165</v>
      </c>
      <c r="AU773" s="31" t="s">
        <v>9454</v>
      </c>
      <c r="AV773" s="14">
        <v>12569</v>
      </c>
      <c r="AW773" s="74"/>
      <c r="AX773" s="1" t="s">
        <v>9455</v>
      </c>
      <c r="AY773" s="17" t="s">
        <v>101</v>
      </c>
    </row>
    <row r="774" spans="1:51" ht="12.75" customHeight="1" x14ac:dyDescent="0.25">
      <c r="A774" s="5">
        <v>741</v>
      </c>
      <c r="B774" s="9">
        <v>741</v>
      </c>
      <c r="C774" s="9" t="s">
        <v>9456</v>
      </c>
      <c r="D774" s="57" t="str">
        <f>HYPERLINK("http://prodenv.dep.state.fl.us/DepNexus/public/electronic-documents/OG_741/facility!search","OG_741_Docs")</f>
        <v>OG_741_Docs</v>
      </c>
      <c r="E774" s="57" t="str">
        <f>HYPERLINK("https://ca.dep.state.fl.us/mapdirect/?focus=oilandgas&amp;zoom=query&amp;querytype=oilandgas&amp;queryvalues=OG_741","OG_741_Map")</f>
        <v>OG_741_Map</v>
      </c>
      <c r="F774" s="1" t="s">
        <v>1752</v>
      </c>
      <c r="G774" s="1" t="s">
        <v>3668</v>
      </c>
      <c r="H774" s="1" t="s">
        <v>3669</v>
      </c>
      <c r="I774" s="1" t="s">
        <v>9457</v>
      </c>
      <c r="J774" s="17" t="s">
        <v>268</v>
      </c>
      <c r="K774" s="17" t="s">
        <v>412</v>
      </c>
      <c r="L774" s="17"/>
      <c r="M774" s="17"/>
      <c r="N774" s="52" t="s">
        <v>9458</v>
      </c>
      <c r="O774" s="17" t="s">
        <v>86</v>
      </c>
      <c r="P774" s="17" t="s">
        <v>86</v>
      </c>
      <c r="Q774" s="81" t="s">
        <v>3870</v>
      </c>
      <c r="R774" s="11">
        <v>26.530307000000001</v>
      </c>
      <c r="S774" s="11">
        <v>-81.433625000000006</v>
      </c>
      <c r="T774" s="11" t="s">
        <v>9459</v>
      </c>
      <c r="U774" s="11" t="s">
        <v>9460</v>
      </c>
      <c r="V774" s="17" t="s">
        <v>9461</v>
      </c>
      <c r="W774" s="17" t="s">
        <v>110</v>
      </c>
      <c r="X774" s="70">
        <v>52</v>
      </c>
      <c r="Y774" s="70">
        <v>35</v>
      </c>
      <c r="Z774" s="13">
        <v>27184</v>
      </c>
      <c r="AA774" s="13">
        <v>27317</v>
      </c>
      <c r="AB774" s="13">
        <v>27064</v>
      </c>
      <c r="AC774" s="13">
        <v>33616</v>
      </c>
      <c r="AD774" s="86">
        <v>11625</v>
      </c>
      <c r="AE774" s="86">
        <v>11625</v>
      </c>
      <c r="AF774" s="70" t="s">
        <v>9462</v>
      </c>
      <c r="AG774" s="17" t="s">
        <v>9463</v>
      </c>
      <c r="AH774" s="17" t="s">
        <v>9464</v>
      </c>
      <c r="AI774" s="70" t="s">
        <v>9465</v>
      </c>
      <c r="AJ774" s="17" t="s">
        <v>9466</v>
      </c>
      <c r="AK774" s="17" t="s">
        <v>95</v>
      </c>
      <c r="AL774" s="17" t="s">
        <v>9467</v>
      </c>
      <c r="AM774" s="17" t="s">
        <v>825</v>
      </c>
      <c r="AN774" s="17" t="s">
        <v>86</v>
      </c>
      <c r="AO774" s="17" t="s">
        <v>9468</v>
      </c>
      <c r="AP774" s="17" t="s">
        <v>9469</v>
      </c>
      <c r="AQ774" s="17" t="s">
        <v>9470</v>
      </c>
      <c r="AR774" s="17" t="s">
        <v>9471</v>
      </c>
      <c r="AS774" s="17" t="s">
        <v>9472</v>
      </c>
      <c r="AT774" s="17">
        <v>198</v>
      </c>
      <c r="AU774" s="30" t="s">
        <v>9473</v>
      </c>
      <c r="AV774" s="14">
        <v>12508</v>
      </c>
      <c r="AW774" s="74"/>
      <c r="AX774" s="1"/>
      <c r="AY774" s="17" t="s">
        <v>101</v>
      </c>
    </row>
    <row r="775" spans="1:51" ht="12.75" customHeight="1" x14ac:dyDescent="0.25">
      <c r="A775" s="5">
        <v>742</v>
      </c>
      <c r="B775" s="9">
        <v>742</v>
      </c>
      <c r="C775" s="9" t="s">
        <v>9474</v>
      </c>
      <c r="D775" s="57" t="str">
        <f>HYPERLINK("http://prodenv.dep.state.fl.us/DepNexus/public/electronic-documents/OG_742/facility!search","OG_742_Docs")</f>
        <v>OG_742_Docs</v>
      </c>
      <c r="E775" s="57" t="str">
        <f>HYPERLINK("https://ca.dep.state.fl.us/mapdirect/?focus=oilandgas&amp;zoom=query&amp;querytype=oilandgas&amp;queryvalues=OG_742","OG_742_Map")</f>
        <v>OG_742_Map</v>
      </c>
      <c r="F775" s="1" t="s">
        <v>2354</v>
      </c>
      <c r="G775" s="1" t="s">
        <v>79</v>
      </c>
      <c r="H775" s="1" t="s">
        <v>8093</v>
      </c>
      <c r="I775" s="1" t="s">
        <v>9475</v>
      </c>
      <c r="J775" s="17" t="s">
        <v>82</v>
      </c>
      <c r="K775" s="17" t="s">
        <v>83</v>
      </c>
      <c r="L775" s="17"/>
      <c r="M775" s="17" t="s">
        <v>84</v>
      </c>
      <c r="N775" s="52" t="s">
        <v>6529</v>
      </c>
      <c r="O775" s="17" t="s">
        <v>86</v>
      </c>
      <c r="P775" s="17" t="s">
        <v>86</v>
      </c>
      <c r="Q775" s="81" t="s">
        <v>9476</v>
      </c>
      <c r="R775" s="11">
        <v>28.437868999999999</v>
      </c>
      <c r="S775" s="11">
        <v>-82.085352999999998</v>
      </c>
      <c r="T775" s="11" t="s">
        <v>9477</v>
      </c>
      <c r="U775" s="11" t="s">
        <v>9478</v>
      </c>
      <c r="V775" s="17" t="s">
        <v>9479</v>
      </c>
      <c r="W775" s="17" t="s">
        <v>110</v>
      </c>
      <c r="X775" s="70">
        <v>105.6</v>
      </c>
      <c r="Y775" s="70">
        <v>80</v>
      </c>
      <c r="Z775" s="13">
        <v>27198</v>
      </c>
      <c r="AA775" s="13">
        <v>27186</v>
      </c>
      <c r="AB775" s="13">
        <v>27298</v>
      </c>
      <c r="AC775" s="13">
        <v>27298</v>
      </c>
      <c r="AD775" s="86">
        <v>6646</v>
      </c>
      <c r="AE775" s="86">
        <v>6646</v>
      </c>
      <c r="AF775" s="70" t="s">
        <v>9480</v>
      </c>
      <c r="AG775" s="17" t="s">
        <v>9481</v>
      </c>
      <c r="AH775" s="17" t="s">
        <v>9482</v>
      </c>
      <c r="AI775" s="70" t="s">
        <v>94</v>
      </c>
      <c r="AJ775" s="17" t="s">
        <v>94</v>
      </c>
      <c r="AK775" s="17" t="s">
        <v>95</v>
      </c>
      <c r="AL775" s="17" t="s">
        <v>86</v>
      </c>
      <c r="AM775" s="17" t="s">
        <v>94</v>
      </c>
      <c r="AN775" s="17" t="s">
        <v>94</v>
      </c>
      <c r="AO775" s="17" t="s">
        <v>98</v>
      </c>
      <c r="AP775" s="17" t="s">
        <v>98</v>
      </c>
      <c r="AQ775" s="17" t="s">
        <v>98</v>
      </c>
      <c r="AR775" s="17" t="s">
        <v>94</v>
      </c>
      <c r="AS775" s="17" t="s">
        <v>9483</v>
      </c>
      <c r="AT775" s="17">
        <v>158</v>
      </c>
      <c r="AU775" s="30" t="s">
        <v>9484</v>
      </c>
      <c r="AV775" s="14">
        <v>12528</v>
      </c>
      <c r="AW775" s="74"/>
      <c r="AX775" s="1"/>
      <c r="AY775" s="17" t="s">
        <v>101</v>
      </c>
    </row>
    <row r="776" spans="1:51" ht="15" customHeight="1" x14ac:dyDescent="0.25">
      <c r="A776" s="5">
        <v>743</v>
      </c>
      <c r="B776" s="9">
        <v>743</v>
      </c>
      <c r="C776" s="9" t="s">
        <v>9485</v>
      </c>
      <c r="D776" s="57" t="str">
        <f>HYPERLINK("http://prodenv.dep.state.fl.us/DepNexus/public/electronic-documents/OG_743/facility!search","OG_743_Docs")</f>
        <v>OG_743_Docs</v>
      </c>
      <c r="E776" s="57" t="str">
        <f>HYPERLINK("https://ca.dep.state.fl.us/mapdirect/?focus=oilandgas&amp;zoom=query&amp;querytype=oilandgas&amp;queryvalues=OG_743","OG_743_Map")</f>
        <v>OG_743_Map</v>
      </c>
      <c r="F776" s="1" t="s">
        <v>2354</v>
      </c>
      <c r="G776" s="1" t="s">
        <v>79</v>
      </c>
      <c r="H776" s="1" t="s">
        <v>8093</v>
      </c>
      <c r="I776" s="1" t="s">
        <v>9486</v>
      </c>
      <c r="J776" s="17" t="s">
        <v>82</v>
      </c>
      <c r="K776" s="17" t="s">
        <v>83</v>
      </c>
      <c r="L776" s="17"/>
      <c r="M776" s="17" t="s">
        <v>101</v>
      </c>
      <c r="N776" s="52" t="s">
        <v>6529</v>
      </c>
      <c r="O776" s="17" t="s">
        <v>86</v>
      </c>
      <c r="P776" s="17" t="s">
        <v>86</v>
      </c>
      <c r="Q776" s="81" t="s">
        <v>9487</v>
      </c>
      <c r="R776" s="11">
        <v>28.320618</v>
      </c>
      <c r="S776" s="11">
        <v>-82.126777000000004</v>
      </c>
      <c r="T776" s="11" t="s">
        <v>9488</v>
      </c>
      <c r="U776" s="11" t="s">
        <v>9489</v>
      </c>
      <c r="V776" s="17" t="s">
        <v>9490</v>
      </c>
      <c r="W776" s="17" t="s">
        <v>110</v>
      </c>
      <c r="X776" s="70">
        <v>19</v>
      </c>
      <c r="Y776" s="70">
        <v>115</v>
      </c>
      <c r="Z776" s="13">
        <v>27212</v>
      </c>
      <c r="AA776" s="13">
        <v>27215</v>
      </c>
      <c r="AB776" s="13">
        <v>27270</v>
      </c>
      <c r="AC776" s="13">
        <v>27270</v>
      </c>
      <c r="AD776" s="86">
        <v>7148</v>
      </c>
      <c r="AE776" s="86">
        <v>7148</v>
      </c>
      <c r="AF776" s="70" t="s">
        <v>9491</v>
      </c>
      <c r="AG776" s="17" t="s">
        <v>9492</v>
      </c>
      <c r="AH776" s="17" t="s">
        <v>5323</v>
      </c>
      <c r="AI776" s="70" t="s">
        <v>94</v>
      </c>
      <c r="AJ776" s="17" t="s">
        <v>94</v>
      </c>
      <c r="AK776" s="17" t="s">
        <v>95</v>
      </c>
      <c r="AL776" s="17" t="s">
        <v>86</v>
      </c>
      <c r="AM776" s="17" t="s">
        <v>94</v>
      </c>
      <c r="AN776" s="17" t="s">
        <v>94</v>
      </c>
      <c r="AO776" s="17" t="s">
        <v>98</v>
      </c>
      <c r="AP776" s="17" t="s">
        <v>98</v>
      </c>
      <c r="AQ776" s="17" t="s">
        <v>98</v>
      </c>
      <c r="AR776" s="17" t="s">
        <v>94</v>
      </c>
      <c r="AS776" s="17" t="s">
        <v>9493</v>
      </c>
      <c r="AT776" s="17">
        <v>164</v>
      </c>
      <c r="AU776" s="30" t="s">
        <v>9494</v>
      </c>
      <c r="AV776" s="14">
        <v>12399</v>
      </c>
      <c r="AW776" s="74"/>
      <c r="AX776" s="1"/>
      <c r="AY776" s="17" t="s">
        <v>101</v>
      </c>
    </row>
    <row r="777" spans="1:51" ht="12.75" customHeight="1" x14ac:dyDescent="0.25">
      <c r="A777" s="5">
        <v>744</v>
      </c>
      <c r="B777" s="9">
        <v>744</v>
      </c>
      <c r="C777" s="9" t="s">
        <v>9495</v>
      </c>
      <c r="D777" s="57" t="str">
        <f>HYPERLINK("http://prodenv.dep.state.fl.us/DepNexus/public/electronic-documents/OG_744/facility!search","OG_744_Docs")</f>
        <v>OG_744_Docs</v>
      </c>
      <c r="E777" s="57" t="str">
        <f>HYPERLINK("https://ca.dep.state.fl.us/mapdirect/?focus=oilandgas&amp;zoom=query&amp;querytype=oilandgas&amp;queryvalues=OG_744","OG_744_Map")</f>
        <v>OG_744_Map</v>
      </c>
      <c r="F777" s="1" t="s">
        <v>2026</v>
      </c>
      <c r="G777" s="1" t="s">
        <v>4496</v>
      </c>
      <c r="H777" s="1" t="s">
        <v>8261</v>
      </c>
      <c r="I777" s="1" t="s">
        <v>9496</v>
      </c>
      <c r="J777" s="17" t="s">
        <v>82</v>
      </c>
      <c r="K777" s="17" t="s">
        <v>83</v>
      </c>
      <c r="L777" s="17"/>
      <c r="M777" s="17"/>
      <c r="N777" s="52" t="s">
        <v>4735</v>
      </c>
      <c r="O777" s="17" t="s">
        <v>86</v>
      </c>
      <c r="P777" s="17" t="s">
        <v>86</v>
      </c>
      <c r="Q777" s="81" t="s">
        <v>9497</v>
      </c>
      <c r="R777" s="11">
        <v>26.539899999999999</v>
      </c>
      <c r="S777" s="11">
        <v>-81.581581</v>
      </c>
      <c r="T777" s="11" t="s">
        <v>9498</v>
      </c>
      <c r="U777" s="11" t="s">
        <v>9499</v>
      </c>
      <c r="V777" s="17" t="s">
        <v>9500</v>
      </c>
      <c r="W777" s="17" t="s">
        <v>9501</v>
      </c>
      <c r="X777" s="70">
        <v>47</v>
      </c>
      <c r="Y777" s="70"/>
      <c r="Z777" s="13">
        <v>27212</v>
      </c>
      <c r="AA777" s="13">
        <v>27267</v>
      </c>
      <c r="AB777" s="13">
        <v>27324</v>
      </c>
      <c r="AC777" s="13">
        <v>32301</v>
      </c>
      <c r="AD777" s="86"/>
      <c r="AE777" s="86">
        <v>12362</v>
      </c>
      <c r="AF777" s="70" t="s">
        <v>5224</v>
      </c>
      <c r="AG777" s="17" t="s">
        <v>5225</v>
      </c>
      <c r="AH777" s="17" t="s">
        <v>5226</v>
      </c>
      <c r="AI777" s="70" t="s">
        <v>94</v>
      </c>
      <c r="AJ777" s="17" t="s">
        <v>94</v>
      </c>
      <c r="AK777" s="17" t="s">
        <v>825</v>
      </c>
      <c r="AL777" s="17" t="s">
        <v>9502</v>
      </c>
      <c r="AM777" s="17" t="s">
        <v>825</v>
      </c>
      <c r="AN777" s="17" t="s">
        <v>86</v>
      </c>
      <c r="AO777" s="17" t="s">
        <v>98</v>
      </c>
      <c r="AP777" s="17" t="s">
        <v>98</v>
      </c>
      <c r="AQ777" s="17" t="s">
        <v>98</v>
      </c>
      <c r="AR777" s="17" t="s">
        <v>94</v>
      </c>
      <c r="AS777" s="17" t="s">
        <v>9503</v>
      </c>
      <c r="AT777" s="17">
        <v>180</v>
      </c>
      <c r="AU777" s="30" t="s">
        <v>9504</v>
      </c>
      <c r="AV777" s="14">
        <v>12612</v>
      </c>
      <c r="AW777" s="74"/>
      <c r="AX777" s="1" t="s">
        <v>9505</v>
      </c>
      <c r="AY777" s="17" t="s">
        <v>101</v>
      </c>
    </row>
    <row r="778" spans="1:51" ht="12.75" customHeight="1" x14ac:dyDescent="0.25">
      <c r="A778" s="5">
        <v>745</v>
      </c>
      <c r="B778" s="9">
        <v>745</v>
      </c>
      <c r="C778" s="9" t="s">
        <v>9506</v>
      </c>
      <c r="D778" s="57" t="str">
        <f>HYPERLINK("http://prodenv.dep.state.fl.us/DepNexus/public/electronic-documents/OG_745/facility!search","OG_745_Docs")</f>
        <v>OG_745_Docs</v>
      </c>
      <c r="E778" s="57" t="str">
        <f>HYPERLINK("https://ca.dep.state.fl.us/mapdirect/?focus=oilandgas&amp;zoom=query&amp;querytype=oilandgas&amp;queryvalues=OG_745","OG_745_Map")</f>
        <v>OG_745_Map</v>
      </c>
      <c r="F778" s="1" t="s">
        <v>162</v>
      </c>
      <c r="G778" s="1" t="s">
        <v>79</v>
      </c>
      <c r="H778" s="1" t="s">
        <v>8910</v>
      </c>
      <c r="I778" s="1" t="s">
        <v>9507</v>
      </c>
      <c r="J778" s="17" t="s">
        <v>82</v>
      </c>
      <c r="K778" s="17" t="s">
        <v>82</v>
      </c>
      <c r="L778" s="17"/>
      <c r="M778" s="17" t="s">
        <v>101</v>
      </c>
      <c r="N778" s="52" t="s">
        <v>9508</v>
      </c>
      <c r="O778" s="17" t="s">
        <v>86</v>
      </c>
      <c r="P778" s="17" t="s">
        <v>340</v>
      </c>
      <c r="Q778" s="81" t="s">
        <v>9509</v>
      </c>
      <c r="R778" s="11">
        <v>30.124580000000002</v>
      </c>
      <c r="S778" s="11">
        <v>-84.849074000000002</v>
      </c>
      <c r="T778" s="11" t="s">
        <v>9510</v>
      </c>
      <c r="U778" s="11" t="s">
        <v>9511</v>
      </c>
      <c r="V778" s="17" t="s">
        <v>9512</v>
      </c>
      <c r="W778" s="17" t="s">
        <v>110</v>
      </c>
      <c r="X778" s="70">
        <v>74</v>
      </c>
      <c r="Y778" s="70">
        <v>60</v>
      </c>
      <c r="Z778" s="13">
        <v>27226</v>
      </c>
      <c r="AA778" s="13">
        <v>27270</v>
      </c>
      <c r="AB778" s="13">
        <v>27333</v>
      </c>
      <c r="AC778" s="13">
        <v>27333</v>
      </c>
      <c r="AD778" s="86">
        <v>12400</v>
      </c>
      <c r="AE778" s="86">
        <v>12400</v>
      </c>
      <c r="AF778" s="70" t="s">
        <v>9331</v>
      </c>
      <c r="AG778" s="17" t="s">
        <v>9513</v>
      </c>
      <c r="AH778" s="17" t="s">
        <v>9514</v>
      </c>
      <c r="AI778" s="70" t="s">
        <v>94</v>
      </c>
      <c r="AJ778" s="17" t="s">
        <v>94</v>
      </c>
      <c r="AK778" s="17" t="s">
        <v>95</v>
      </c>
      <c r="AL778" s="17" t="s">
        <v>9515</v>
      </c>
      <c r="AM778" s="17" t="s">
        <v>94</v>
      </c>
      <c r="AN778" s="17" t="s">
        <v>94</v>
      </c>
      <c r="AO778" s="17" t="s">
        <v>98</v>
      </c>
      <c r="AP778" s="17" t="s">
        <v>98</v>
      </c>
      <c r="AQ778" s="17" t="s">
        <v>98</v>
      </c>
      <c r="AR778" s="17" t="s">
        <v>94</v>
      </c>
      <c r="AS778" s="17" t="s">
        <v>9516</v>
      </c>
      <c r="AT778" s="17">
        <v>216</v>
      </c>
      <c r="AU778" s="30" t="s">
        <v>9517</v>
      </c>
      <c r="AV778" s="14">
        <v>12497</v>
      </c>
      <c r="AW778" s="74"/>
      <c r="AX778" s="1"/>
      <c r="AY778" s="17" t="s">
        <v>101</v>
      </c>
    </row>
    <row r="779" spans="1:51" ht="12.75" customHeight="1" x14ac:dyDescent="0.25">
      <c r="A779" s="5">
        <v>746</v>
      </c>
      <c r="B779" s="9">
        <v>746</v>
      </c>
      <c r="C779" s="9" t="s">
        <v>9518</v>
      </c>
      <c r="D779" s="57" t="str">
        <f>HYPERLINK("http://prodenv.dep.state.fl.us/DepNexus/public/electronic-documents/OG_746/facility!search","OG_746_Docs")</f>
        <v>OG_746_Docs</v>
      </c>
      <c r="E779" s="57" t="str">
        <f>HYPERLINK("https://ca.dep.state.fl.us/mapdirect/?focus=oilandgas&amp;zoom=query&amp;querytype=oilandgas&amp;queryvalues=OG_746","OG_746_Map")</f>
        <v>OG_746_Map</v>
      </c>
      <c r="F779" s="1" t="s">
        <v>539</v>
      </c>
      <c r="G779" s="1" t="s">
        <v>79</v>
      </c>
      <c r="H779" s="1" t="s">
        <v>817</v>
      </c>
      <c r="I779" s="1" t="s">
        <v>9519</v>
      </c>
      <c r="J779" s="17" t="s">
        <v>82</v>
      </c>
      <c r="K779" s="17" t="s">
        <v>83</v>
      </c>
      <c r="L779" s="17" t="s">
        <v>101</v>
      </c>
      <c r="M779" s="17"/>
      <c r="N779" s="52" t="s">
        <v>7568</v>
      </c>
      <c r="O779" s="17" t="s">
        <v>86</v>
      </c>
      <c r="P779" s="17" t="s">
        <v>86</v>
      </c>
      <c r="Q779" s="81" t="s">
        <v>9520</v>
      </c>
      <c r="R779" s="11">
        <v>30.190676</v>
      </c>
      <c r="S779" s="11">
        <v>-85.377043</v>
      </c>
      <c r="T779" s="11" t="s">
        <v>9521</v>
      </c>
      <c r="U779" s="11" t="s">
        <v>9522</v>
      </c>
      <c r="V779" s="17" t="s">
        <v>9523</v>
      </c>
      <c r="W779" s="17" t="s">
        <v>110</v>
      </c>
      <c r="X779" s="70">
        <v>81.3</v>
      </c>
      <c r="Y779" s="70">
        <v>57.3</v>
      </c>
      <c r="Z779" s="13">
        <v>27261</v>
      </c>
      <c r="AA779" s="13">
        <v>27292</v>
      </c>
      <c r="AB779" s="13"/>
      <c r="AC779" s="13">
        <v>27333</v>
      </c>
      <c r="AD779" s="86">
        <v>13284</v>
      </c>
      <c r="AE779" s="86">
        <v>13284</v>
      </c>
      <c r="AF779" s="70" t="s">
        <v>9524</v>
      </c>
      <c r="AG779" s="17" t="s">
        <v>9525</v>
      </c>
      <c r="AH779" s="17" t="s">
        <v>94</v>
      </c>
      <c r="AI779" s="70" t="s">
        <v>94</v>
      </c>
      <c r="AJ779" s="17" t="s">
        <v>94</v>
      </c>
      <c r="AK779" s="17" t="s">
        <v>95</v>
      </c>
      <c r="AL779" s="17" t="s">
        <v>9526</v>
      </c>
      <c r="AM779" s="17" t="s">
        <v>95</v>
      </c>
      <c r="AN779" s="17" t="s">
        <v>94</v>
      </c>
      <c r="AO779" s="17" t="s">
        <v>98</v>
      </c>
      <c r="AP779" s="17" t="s">
        <v>98</v>
      </c>
      <c r="AQ779" s="17" t="s">
        <v>98</v>
      </c>
      <c r="AR779" s="17" t="s">
        <v>94</v>
      </c>
      <c r="AS779" s="17" t="s">
        <v>9527</v>
      </c>
      <c r="AT779" s="17">
        <v>222</v>
      </c>
      <c r="AU779" s="30" t="s">
        <v>9528</v>
      </c>
      <c r="AV779" s="14">
        <v>12509</v>
      </c>
      <c r="AW779" s="74"/>
      <c r="AX779" s="1"/>
      <c r="AY779" s="17" t="s">
        <v>101</v>
      </c>
    </row>
    <row r="780" spans="1:51" ht="12.75" customHeight="1" x14ac:dyDescent="0.25">
      <c r="A780" s="5">
        <v>747</v>
      </c>
      <c r="B780" s="9">
        <v>747</v>
      </c>
      <c r="C780" s="9" t="s">
        <v>9529</v>
      </c>
      <c r="D780" s="57" t="str">
        <f>HYPERLINK("http://prodenv.dep.state.fl.us/DepNexus/public/electronic-documents/OG_747/facility!search","OG_747_Docs")</f>
        <v>OG_747_Docs</v>
      </c>
      <c r="E780" s="57" t="str">
        <f>HYPERLINK("https://ca.dep.state.fl.us/mapdirect/?focus=oilandgas&amp;zoom=query&amp;querytype=oilandgas&amp;queryvalues=OG_747","OG_747_Map")</f>
        <v>OG_747_Map</v>
      </c>
      <c r="F780" s="1" t="s">
        <v>2026</v>
      </c>
      <c r="G780" s="1" t="s">
        <v>4496</v>
      </c>
      <c r="H780" s="1" t="s">
        <v>8261</v>
      </c>
      <c r="I780" s="1" t="s">
        <v>9530</v>
      </c>
      <c r="J780" s="17" t="s">
        <v>82</v>
      </c>
      <c r="K780" s="17" t="s">
        <v>83</v>
      </c>
      <c r="L780" s="17"/>
      <c r="M780" s="17"/>
      <c r="N780" s="52" t="s">
        <v>4735</v>
      </c>
      <c r="O780" s="17" t="s">
        <v>86</v>
      </c>
      <c r="P780" s="17" t="s">
        <v>86</v>
      </c>
      <c r="Q780" s="81" t="s">
        <v>9531</v>
      </c>
      <c r="R780" s="11">
        <v>26.581153</v>
      </c>
      <c r="S780" s="11">
        <v>-81.614144999999994</v>
      </c>
      <c r="T780" s="11" t="s">
        <v>9532</v>
      </c>
      <c r="U780" s="11" t="s">
        <v>9533</v>
      </c>
      <c r="V780" s="17" t="s">
        <v>9534</v>
      </c>
      <c r="W780" s="17" t="s">
        <v>9535</v>
      </c>
      <c r="X780" s="70">
        <v>45.9</v>
      </c>
      <c r="Y780" s="70">
        <v>29.6</v>
      </c>
      <c r="Z780" s="13">
        <v>27261</v>
      </c>
      <c r="AA780" s="13">
        <v>27337</v>
      </c>
      <c r="AB780" s="13"/>
      <c r="AC780" s="13">
        <v>27414</v>
      </c>
      <c r="AD780" s="86"/>
      <c r="AE780" s="86">
        <v>12760</v>
      </c>
      <c r="AF780" s="70" t="s">
        <v>5690</v>
      </c>
      <c r="AG780" s="17" t="s">
        <v>8296</v>
      </c>
      <c r="AH780" s="17" t="s">
        <v>9397</v>
      </c>
      <c r="AI780" s="70"/>
      <c r="AJ780" s="17"/>
      <c r="AK780" s="17" t="s">
        <v>95</v>
      </c>
      <c r="AL780" s="17" t="s">
        <v>9536</v>
      </c>
      <c r="AM780" s="17" t="s">
        <v>94</v>
      </c>
      <c r="AN780" s="17" t="s">
        <v>94</v>
      </c>
      <c r="AO780" s="17" t="s">
        <v>98</v>
      </c>
      <c r="AP780" s="17" t="s">
        <v>98</v>
      </c>
      <c r="AQ780" s="17" t="s">
        <v>98</v>
      </c>
      <c r="AR780" s="17" t="s">
        <v>94</v>
      </c>
      <c r="AS780" s="17" t="s">
        <v>9537</v>
      </c>
      <c r="AT780" s="17"/>
      <c r="AU780" s="30" t="s">
        <v>9538</v>
      </c>
      <c r="AV780" s="14">
        <v>12611</v>
      </c>
      <c r="AW780" s="74"/>
      <c r="AX780" s="1" t="s">
        <v>9539</v>
      </c>
      <c r="AY780" s="17" t="s">
        <v>101</v>
      </c>
    </row>
    <row r="781" spans="1:51" ht="12.75" customHeight="1" x14ac:dyDescent="0.25">
      <c r="A781" s="5">
        <v>748</v>
      </c>
      <c r="B781" s="9">
        <v>748</v>
      </c>
      <c r="C781" s="9" t="s">
        <v>9540</v>
      </c>
      <c r="D781" s="57" t="str">
        <f>HYPERLINK("http://prodenv.dep.state.fl.us/DepNexus/public/electronic-documents/OG_748/facility!search","OG_748_Docs")</f>
        <v>OG_748_Docs</v>
      </c>
      <c r="E781" s="57" t="str">
        <f>HYPERLINK("https://ca.dep.state.fl.us/mapdirect/?focus=oilandgas&amp;zoom=query&amp;querytype=oilandgas&amp;queryvalues=OG_748","OG_748_Map")</f>
        <v>OG_748_Map</v>
      </c>
      <c r="F781" s="1" t="s">
        <v>2026</v>
      </c>
      <c r="G781" s="1" t="s">
        <v>4496</v>
      </c>
      <c r="H781" s="1" t="s">
        <v>1363</v>
      </c>
      <c r="I781" s="1" t="s">
        <v>9541</v>
      </c>
      <c r="J781" s="17" t="s">
        <v>268</v>
      </c>
      <c r="K781" s="17" t="s">
        <v>83</v>
      </c>
      <c r="L781" s="17"/>
      <c r="M781" s="17"/>
      <c r="N781" s="52" t="s">
        <v>9542</v>
      </c>
      <c r="O781" s="17" t="s">
        <v>86</v>
      </c>
      <c r="P781" s="17" t="s">
        <v>86</v>
      </c>
      <c r="Q781" s="81" t="s">
        <v>8283</v>
      </c>
      <c r="R781" s="11">
        <v>26.555081999999999</v>
      </c>
      <c r="S781" s="11">
        <v>-81.58117</v>
      </c>
      <c r="T781" s="11" t="s">
        <v>9543</v>
      </c>
      <c r="U781" s="11" t="s">
        <v>9544</v>
      </c>
      <c r="V781" s="17" t="s">
        <v>9545</v>
      </c>
      <c r="W781" s="17" t="s">
        <v>9546</v>
      </c>
      <c r="X781" s="70"/>
      <c r="Y781" s="70">
        <v>30</v>
      </c>
      <c r="Z781" s="13">
        <v>27261</v>
      </c>
      <c r="AA781" s="13">
        <v>27300</v>
      </c>
      <c r="AB781" s="13">
        <v>27311</v>
      </c>
      <c r="AC781" s="13"/>
      <c r="AD781" s="86">
        <v>2155</v>
      </c>
      <c r="AE781" s="86">
        <v>2155</v>
      </c>
      <c r="AF781" s="70" t="s">
        <v>9547</v>
      </c>
      <c r="AG781" s="17" t="s">
        <v>94</v>
      </c>
      <c r="AH781" s="17" t="s">
        <v>94</v>
      </c>
      <c r="AI781" s="70" t="s">
        <v>9548</v>
      </c>
      <c r="AJ781" s="17" t="s">
        <v>9549</v>
      </c>
      <c r="AK781" s="17" t="s">
        <v>94</v>
      </c>
      <c r="AL781" s="17" t="s">
        <v>94</v>
      </c>
      <c r="AM781" s="17" t="s">
        <v>94</v>
      </c>
      <c r="AN781" s="17" t="s">
        <v>86</v>
      </c>
      <c r="AO781" s="17" t="s">
        <v>94</v>
      </c>
      <c r="AP781" s="17" t="s">
        <v>94</v>
      </c>
      <c r="AQ781" s="17" t="s">
        <v>94</v>
      </c>
      <c r="AR781" s="17" t="s">
        <v>9550</v>
      </c>
      <c r="AS781" s="17"/>
      <c r="AT781" s="17"/>
      <c r="AU781" s="30" t="s">
        <v>9551</v>
      </c>
      <c r="AV781" s="14" t="s">
        <v>94</v>
      </c>
      <c r="AW781" s="74">
        <v>314436</v>
      </c>
      <c r="AX781" s="1" t="s">
        <v>9552</v>
      </c>
      <c r="AY781" s="17" t="s">
        <v>101</v>
      </c>
    </row>
    <row r="782" spans="1:51" ht="12.75" customHeight="1" x14ac:dyDescent="0.25">
      <c r="A782" s="5">
        <v>749</v>
      </c>
      <c r="B782" s="9">
        <v>749</v>
      </c>
      <c r="C782" s="9" t="s">
        <v>9553</v>
      </c>
      <c r="D782" s="57" t="str">
        <f>HYPERLINK("http://prodenv.dep.state.fl.us/DepNexus/public/electronic-documents/OG_749/facility!search","OG_749_Docs")</f>
        <v>OG_749_Docs</v>
      </c>
      <c r="E782" s="57" t="str">
        <f>HYPERLINK("https://ca.dep.state.fl.us/mapdirect/?focus=oilandgas&amp;zoom=query&amp;querytype=oilandgas&amp;queryvalues=OG_749","OG_749_Map")</f>
        <v>OG_749_Map</v>
      </c>
      <c r="F782" s="1" t="s">
        <v>2026</v>
      </c>
      <c r="G782" s="1" t="s">
        <v>4496</v>
      </c>
      <c r="H782" s="1" t="s">
        <v>8261</v>
      </c>
      <c r="I782" s="1" t="s">
        <v>9554</v>
      </c>
      <c r="J782" s="17" t="s">
        <v>1476</v>
      </c>
      <c r="K782" s="23" t="s">
        <v>412</v>
      </c>
      <c r="L782" s="17"/>
      <c r="M782" s="17" t="s">
        <v>207</v>
      </c>
      <c r="N782" s="52" t="s">
        <v>86</v>
      </c>
      <c r="O782" s="17" t="s">
        <v>86</v>
      </c>
      <c r="P782" s="17" t="s">
        <v>86</v>
      </c>
      <c r="Q782" s="81" t="s">
        <v>9555</v>
      </c>
      <c r="R782" s="11">
        <v>26.555060000000001</v>
      </c>
      <c r="S782" s="11">
        <v>-81.581586000000001</v>
      </c>
      <c r="T782" s="11" t="s">
        <v>9556</v>
      </c>
      <c r="U782" s="11" t="s">
        <v>9557</v>
      </c>
      <c r="V782" s="17" t="s">
        <v>9558</v>
      </c>
      <c r="W782" s="17"/>
      <c r="X782" s="70"/>
      <c r="Y782" s="70"/>
      <c r="Z782" s="13">
        <v>27275</v>
      </c>
      <c r="AA782" s="13"/>
      <c r="AB782" s="13"/>
      <c r="AC782" s="13"/>
      <c r="AD782" s="86"/>
      <c r="AE782" s="70"/>
      <c r="AF782" s="70" t="s">
        <v>207</v>
      </c>
      <c r="AG782" s="13" t="s">
        <v>207</v>
      </c>
      <c r="AH782" s="13" t="s">
        <v>207</v>
      </c>
      <c r="AI782" s="70" t="s">
        <v>207</v>
      </c>
      <c r="AJ782" s="13" t="s">
        <v>207</v>
      </c>
      <c r="AK782" s="13" t="s">
        <v>207</v>
      </c>
      <c r="AL782" s="13" t="s">
        <v>207</v>
      </c>
      <c r="AM782" s="13" t="s">
        <v>207</v>
      </c>
      <c r="AN782" s="13" t="s">
        <v>207</v>
      </c>
      <c r="AO782" s="13" t="s">
        <v>207</v>
      </c>
      <c r="AP782" s="13" t="s">
        <v>207</v>
      </c>
      <c r="AQ782" s="13" t="s">
        <v>207</v>
      </c>
      <c r="AR782" s="13" t="s">
        <v>207</v>
      </c>
      <c r="AS782" s="13" t="s">
        <v>207</v>
      </c>
      <c r="AT782" s="13" t="s">
        <v>207</v>
      </c>
      <c r="AU782" s="31" t="s">
        <v>9559</v>
      </c>
      <c r="AV782" s="14" t="s">
        <v>207</v>
      </c>
      <c r="AW782" s="74"/>
      <c r="AX782" s="1" t="s">
        <v>9560</v>
      </c>
      <c r="AY782" s="17" t="s">
        <v>101</v>
      </c>
    </row>
    <row r="783" spans="1:51" ht="12.75" customHeight="1" x14ac:dyDescent="0.25">
      <c r="A783" s="5">
        <v>749.1</v>
      </c>
      <c r="B783" s="9" t="s">
        <v>9561</v>
      </c>
      <c r="C783" s="9" t="s">
        <v>9553</v>
      </c>
      <c r="D783" s="57" t="str">
        <f>HYPERLINK("http://prodenv.dep.state.fl.us/DepNexus/public/electronic-documents/OG_749/facility!search","OG_749_Docs")</f>
        <v>OG_749_Docs</v>
      </c>
      <c r="E783" s="57" t="str">
        <f>HYPERLINK("https://ca.dep.state.fl.us/mapdirect/?focus=oilandgas&amp;zoom=query&amp;querytype=oilandgas&amp;queryvalues=OG_749","OG_749_Map")</f>
        <v>OG_749_Map</v>
      </c>
      <c r="F783" s="1" t="s">
        <v>2026</v>
      </c>
      <c r="G783" s="1" t="s">
        <v>4496</v>
      </c>
      <c r="H783" s="1" t="s">
        <v>8261</v>
      </c>
      <c r="I783" s="1" t="s">
        <v>9554</v>
      </c>
      <c r="J783" s="17" t="s">
        <v>268</v>
      </c>
      <c r="K783" s="17" t="s">
        <v>412</v>
      </c>
      <c r="L783" s="17"/>
      <c r="M783" s="17"/>
      <c r="N783" s="52" t="s">
        <v>5949</v>
      </c>
      <c r="O783" s="17" t="s">
        <v>86</v>
      </c>
      <c r="P783" s="17" t="s">
        <v>86</v>
      </c>
      <c r="Q783" s="81" t="s">
        <v>9555</v>
      </c>
      <c r="R783" s="11">
        <v>26.555060000000001</v>
      </c>
      <c r="S783" s="11">
        <v>-81.581586000000001</v>
      </c>
      <c r="T783" s="11" t="s">
        <v>9556</v>
      </c>
      <c r="U783" s="11" t="s">
        <v>9557</v>
      </c>
      <c r="V783" s="17" t="s">
        <v>9558</v>
      </c>
      <c r="W783" s="17" t="s">
        <v>9562</v>
      </c>
      <c r="X783" s="70">
        <v>45.8</v>
      </c>
      <c r="Y783" s="70">
        <v>31.2</v>
      </c>
      <c r="Z783" s="13">
        <v>27471</v>
      </c>
      <c r="AA783" s="13">
        <v>27637</v>
      </c>
      <c r="AB783" s="13">
        <v>27737</v>
      </c>
      <c r="AC783" s="13">
        <v>32434</v>
      </c>
      <c r="AD783" s="86">
        <v>11499</v>
      </c>
      <c r="AE783" s="86">
        <v>11556</v>
      </c>
      <c r="AF783" s="70" t="s">
        <v>5267</v>
      </c>
      <c r="AG783" s="17" t="s">
        <v>9563</v>
      </c>
      <c r="AH783" s="17" t="s">
        <v>9092</v>
      </c>
      <c r="AI783" s="70" t="s">
        <v>9564</v>
      </c>
      <c r="AJ783" s="17" t="s">
        <v>9565</v>
      </c>
      <c r="AK783" s="17" t="s">
        <v>94</v>
      </c>
      <c r="AL783" s="17" t="s">
        <v>94</v>
      </c>
      <c r="AM783" s="17" t="s">
        <v>94</v>
      </c>
      <c r="AN783" s="17" t="s">
        <v>94</v>
      </c>
      <c r="AO783" s="17" t="s">
        <v>9566</v>
      </c>
      <c r="AP783" s="17" t="s">
        <v>94</v>
      </c>
      <c r="AQ783" s="17" t="s">
        <v>9567</v>
      </c>
      <c r="AR783" s="17" t="s">
        <v>9568</v>
      </c>
      <c r="AS783" s="17" t="s">
        <v>9569</v>
      </c>
      <c r="AT783" s="17"/>
      <c r="AU783" s="31" t="s">
        <v>9570</v>
      </c>
      <c r="AV783" s="14">
        <v>12982</v>
      </c>
      <c r="AW783" s="74"/>
      <c r="AX783" s="1"/>
      <c r="AY783" s="17" t="s">
        <v>101</v>
      </c>
    </row>
    <row r="784" spans="1:51" ht="12.75" customHeight="1" x14ac:dyDescent="0.25">
      <c r="A784" s="5">
        <v>750</v>
      </c>
      <c r="B784" s="9">
        <v>750</v>
      </c>
      <c r="C784" s="9" t="s">
        <v>9571</v>
      </c>
      <c r="D784" s="57" t="str">
        <f>HYPERLINK("http://prodenv.dep.state.fl.us/DepNexus/public/electronic-documents/OG_750/facility!search","OG_750_Docs")</f>
        <v>OG_750_Docs</v>
      </c>
      <c r="E784" s="57" t="str">
        <f>HYPERLINK("https://ca.dep.state.fl.us/mapdirect/?focus=oilandgas&amp;zoom=query&amp;querytype=oilandgas&amp;queryvalues=OG_750","OG_750_Map")</f>
        <v>OG_750_Map</v>
      </c>
      <c r="F784" s="1" t="s">
        <v>1797</v>
      </c>
      <c r="G784" s="1" t="s">
        <v>1798</v>
      </c>
      <c r="H784" s="1" t="s">
        <v>9572</v>
      </c>
      <c r="I784" s="1" t="s">
        <v>9573</v>
      </c>
      <c r="J784" s="17" t="s">
        <v>82</v>
      </c>
      <c r="K784" s="17" t="s">
        <v>83</v>
      </c>
      <c r="L784" s="17"/>
      <c r="M784" s="17"/>
      <c r="N784" s="52" t="s">
        <v>8758</v>
      </c>
      <c r="O784" s="17" t="s">
        <v>86</v>
      </c>
      <c r="P784" s="17" t="s">
        <v>86</v>
      </c>
      <c r="Q784" s="81" t="s">
        <v>8845</v>
      </c>
      <c r="R784" s="11">
        <v>30.98734</v>
      </c>
      <c r="S784" s="11">
        <v>-87.131598999999994</v>
      </c>
      <c r="T784" s="11" t="s">
        <v>9574</v>
      </c>
      <c r="U784" s="11" t="s">
        <v>9575</v>
      </c>
      <c r="V784" s="17" t="s">
        <v>9576</v>
      </c>
      <c r="W784" s="17" t="s">
        <v>9577</v>
      </c>
      <c r="X784" s="70">
        <v>294</v>
      </c>
      <c r="Y784" s="70">
        <v>262</v>
      </c>
      <c r="Z784" s="13">
        <v>27359</v>
      </c>
      <c r="AA784" s="13">
        <v>27294</v>
      </c>
      <c r="AB784" s="13">
        <v>27349</v>
      </c>
      <c r="AC784" s="13">
        <v>27352</v>
      </c>
      <c r="AD784" s="86">
        <v>15755</v>
      </c>
      <c r="AE784" s="86">
        <v>15755</v>
      </c>
      <c r="AF784" s="70" t="s">
        <v>9578</v>
      </c>
      <c r="AG784" s="17" t="s">
        <v>9579</v>
      </c>
      <c r="AH784" s="17" t="s">
        <v>94</v>
      </c>
      <c r="AI784" s="70" t="s">
        <v>98</v>
      </c>
      <c r="AJ784" s="17" t="s">
        <v>98</v>
      </c>
      <c r="AK784" s="17" t="s">
        <v>825</v>
      </c>
      <c r="AL784" s="17" t="s">
        <v>86</v>
      </c>
      <c r="AM784" s="17" t="s">
        <v>95</v>
      </c>
      <c r="AN784" s="17" t="s">
        <v>94</v>
      </c>
      <c r="AO784" s="17" t="s">
        <v>98</v>
      </c>
      <c r="AP784" s="17" t="s">
        <v>98</v>
      </c>
      <c r="AQ784" s="17" t="s">
        <v>98</v>
      </c>
      <c r="AR784" s="17" t="s">
        <v>94</v>
      </c>
      <c r="AS784" s="17" t="s">
        <v>9580</v>
      </c>
      <c r="AT784" s="17"/>
      <c r="AU784" s="30" t="s">
        <v>9581</v>
      </c>
      <c r="AV784" s="14" t="s">
        <v>94</v>
      </c>
      <c r="AW784" s="74"/>
      <c r="AX784" s="1"/>
      <c r="AY784" s="17" t="s">
        <v>101</v>
      </c>
    </row>
    <row r="785" spans="1:51" ht="15" customHeight="1" x14ac:dyDescent="0.25">
      <c r="A785" s="5">
        <v>751</v>
      </c>
      <c r="B785" s="9">
        <v>751</v>
      </c>
      <c r="C785" s="9" t="s">
        <v>9582</v>
      </c>
      <c r="D785" s="57" t="str">
        <f>HYPERLINK("http://prodenv.dep.state.fl.us/DepNexus/public/electronic-documents/OG_751/facility!search","OG_751_Docs")</f>
        <v>OG_751_Docs</v>
      </c>
      <c r="E785" s="57" t="str">
        <f>HYPERLINK("https://ca.dep.state.fl.us/mapdirect/?focus=oilandgas&amp;zoom=query&amp;querytype=oilandgas&amp;queryvalues=OG_751","OG_751_Map")</f>
        <v>OG_751_Map</v>
      </c>
      <c r="F785" s="1" t="s">
        <v>1752</v>
      </c>
      <c r="G785" s="1" t="s">
        <v>4496</v>
      </c>
      <c r="H785" s="1" t="s">
        <v>8261</v>
      </c>
      <c r="I785" s="1" t="s">
        <v>9583</v>
      </c>
      <c r="J785" s="17" t="s">
        <v>268</v>
      </c>
      <c r="K785" s="17" t="s">
        <v>412</v>
      </c>
      <c r="L785" s="17"/>
      <c r="M785" s="17"/>
      <c r="N785" s="52" t="s">
        <v>9584</v>
      </c>
      <c r="O785" s="17" t="s">
        <v>86</v>
      </c>
      <c r="P785" s="17" t="s">
        <v>86</v>
      </c>
      <c r="Q785" s="81" t="s">
        <v>9585</v>
      </c>
      <c r="R785" s="11">
        <v>26.558931999999999</v>
      </c>
      <c r="S785" s="11">
        <v>-81.561537999999999</v>
      </c>
      <c r="T785" s="11" t="s">
        <v>9586</v>
      </c>
      <c r="U785" s="11" t="s">
        <v>9587</v>
      </c>
      <c r="V785" s="17" t="s">
        <v>9588</v>
      </c>
      <c r="W785" s="17" t="s">
        <v>9589</v>
      </c>
      <c r="X785" s="70">
        <v>54.8</v>
      </c>
      <c r="Y785" s="70">
        <v>31</v>
      </c>
      <c r="Z785" s="13">
        <v>27290</v>
      </c>
      <c r="AA785" s="13">
        <v>27311</v>
      </c>
      <c r="AB785" s="13">
        <v>27417</v>
      </c>
      <c r="AC785" s="13">
        <v>33410</v>
      </c>
      <c r="AD785" s="86">
        <v>11745</v>
      </c>
      <c r="AE785" s="86">
        <v>11770</v>
      </c>
      <c r="AF785" s="70" t="s">
        <v>9590</v>
      </c>
      <c r="AG785" s="17" t="s">
        <v>9591</v>
      </c>
      <c r="AH785" s="17" t="s">
        <v>9592</v>
      </c>
      <c r="AI785" s="70" t="s">
        <v>9593</v>
      </c>
      <c r="AJ785" s="17" t="s">
        <v>9594</v>
      </c>
      <c r="AK785" s="17" t="s">
        <v>95</v>
      </c>
      <c r="AL785" s="17" t="s">
        <v>9595</v>
      </c>
      <c r="AM785" s="17" t="s">
        <v>825</v>
      </c>
      <c r="AN785" s="17" t="s">
        <v>86</v>
      </c>
      <c r="AO785" s="17" t="s">
        <v>9596</v>
      </c>
      <c r="AP785" s="17" t="s">
        <v>94</v>
      </c>
      <c r="AQ785" s="17" t="s">
        <v>9597</v>
      </c>
      <c r="AR785" s="17" t="s">
        <v>9598</v>
      </c>
      <c r="AS785" s="17" t="s">
        <v>9599</v>
      </c>
      <c r="AT785" s="17">
        <v>190</v>
      </c>
      <c r="AU785" s="30" t="s">
        <v>9600</v>
      </c>
      <c r="AV785" s="14">
        <v>12510</v>
      </c>
      <c r="AW785" s="74"/>
      <c r="AX785" s="1"/>
      <c r="AY785" s="17" t="s">
        <v>101</v>
      </c>
    </row>
    <row r="786" spans="1:51" ht="12.75" customHeight="1" x14ac:dyDescent="0.25">
      <c r="A786" s="5">
        <v>752</v>
      </c>
      <c r="B786" s="9">
        <v>752</v>
      </c>
      <c r="C786" s="9" t="s">
        <v>9601</v>
      </c>
      <c r="D786" s="57" t="str">
        <f>HYPERLINK("http://prodenv.dep.state.fl.us/DepNexus/public/electronic-documents/OG_752/facility!search","OG_752_Docs")</f>
        <v>OG_752_Docs</v>
      </c>
      <c r="E786" s="57" t="str">
        <f>HYPERLINK("https://ca.dep.state.fl.us/mapdirect/?focus=oilandgas&amp;zoom=query&amp;querytype=oilandgas&amp;queryvalues=OG_752","OG_752_Map")</f>
        <v>OG_752_Map</v>
      </c>
      <c r="F786" s="1" t="s">
        <v>2026</v>
      </c>
      <c r="G786" s="1" t="s">
        <v>4496</v>
      </c>
      <c r="H786" s="1" t="s">
        <v>8261</v>
      </c>
      <c r="I786" s="1" t="s">
        <v>9602</v>
      </c>
      <c r="J786" s="17" t="s">
        <v>207</v>
      </c>
      <c r="K786" s="17" t="s">
        <v>208</v>
      </c>
      <c r="L786" s="17"/>
      <c r="M786" s="17" t="s">
        <v>207</v>
      </c>
      <c r="N786" s="52" t="s">
        <v>86</v>
      </c>
      <c r="O786" s="17" t="s">
        <v>86</v>
      </c>
      <c r="P786" s="17" t="s">
        <v>86</v>
      </c>
      <c r="Q786" s="81" t="s">
        <v>9603</v>
      </c>
      <c r="R786" s="11">
        <v>26.545117999999999</v>
      </c>
      <c r="S786" s="11">
        <v>-81.568644000000006</v>
      </c>
      <c r="T786" s="11" t="s">
        <v>9604</v>
      </c>
      <c r="U786" s="11" t="s">
        <v>9605</v>
      </c>
      <c r="V786" s="17" t="s">
        <v>9606</v>
      </c>
      <c r="W786" s="17" t="s">
        <v>110</v>
      </c>
      <c r="X786" s="70"/>
      <c r="Y786" s="70"/>
      <c r="Z786" s="13">
        <v>27304</v>
      </c>
      <c r="AA786" s="13"/>
      <c r="AB786" s="13"/>
      <c r="AC786" s="13"/>
      <c r="AD786" s="86"/>
      <c r="AE786" s="70"/>
      <c r="AF786" s="70" t="s">
        <v>207</v>
      </c>
      <c r="AG786" s="14" t="s">
        <v>207</v>
      </c>
      <c r="AH786" s="14" t="s">
        <v>207</v>
      </c>
      <c r="AI786" s="70" t="s">
        <v>207</v>
      </c>
      <c r="AJ786" s="14" t="s">
        <v>207</v>
      </c>
      <c r="AK786" s="14" t="s">
        <v>207</v>
      </c>
      <c r="AL786" s="14" t="s">
        <v>207</v>
      </c>
      <c r="AM786" s="14" t="s">
        <v>207</v>
      </c>
      <c r="AN786" s="14" t="s">
        <v>207</v>
      </c>
      <c r="AO786" s="14" t="s">
        <v>207</v>
      </c>
      <c r="AP786" s="14" t="s">
        <v>207</v>
      </c>
      <c r="AQ786" s="14" t="s">
        <v>207</v>
      </c>
      <c r="AR786" s="14" t="s">
        <v>207</v>
      </c>
      <c r="AS786" s="14" t="s">
        <v>207</v>
      </c>
      <c r="AT786" s="14" t="s">
        <v>207</v>
      </c>
      <c r="AU786" s="30" t="s">
        <v>9607</v>
      </c>
      <c r="AV786" s="14" t="s">
        <v>207</v>
      </c>
      <c r="AW786" s="74"/>
      <c r="AX786" s="1"/>
      <c r="AY786" s="17" t="s">
        <v>101</v>
      </c>
    </row>
    <row r="787" spans="1:51" ht="15" customHeight="1" x14ac:dyDescent="0.25">
      <c r="A787" s="5">
        <v>753</v>
      </c>
      <c r="B787" s="9">
        <v>753</v>
      </c>
      <c r="C787" s="9" t="s">
        <v>9608</v>
      </c>
      <c r="D787" s="57" t="str">
        <f>HYPERLINK("http://prodenv.dep.state.fl.us/DepNexus/public/electronic-documents/OG_753/facility!search","OG_753_Docs")</f>
        <v>OG_753_Docs</v>
      </c>
      <c r="E787" s="57" t="str">
        <f>HYPERLINK("https://ca.dep.state.fl.us/mapdirect/?focus=oilandgas&amp;zoom=query&amp;querytype=oilandgas&amp;queryvalues=OG_753","OG_753_Map")</f>
        <v>OG_753_Map</v>
      </c>
      <c r="F787" s="1" t="s">
        <v>3006</v>
      </c>
      <c r="G787" s="1" t="s">
        <v>79</v>
      </c>
      <c r="H787" s="1" t="s">
        <v>8093</v>
      </c>
      <c r="I787" s="1" t="s">
        <v>9609</v>
      </c>
      <c r="J787" s="17" t="s">
        <v>207</v>
      </c>
      <c r="K787" s="17" t="s">
        <v>208</v>
      </c>
      <c r="L787" s="17"/>
      <c r="M787" s="17" t="s">
        <v>207</v>
      </c>
      <c r="N787" s="52" t="s">
        <v>86</v>
      </c>
      <c r="O787" s="17" t="s">
        <v>86</v>
      </c>
      <c r="P787" s="17" t="s">
        <v>86</v>
      </c>
      <c r="Q787" s="81" t="s">
        <v>9610</v>
      </c>
      <c r="R787" s="11">
        <v>27.540313000000001</v>
      </c>
      <c r="S787" s="11">
        <v>-80.483546000000004</v>
      </c>
      <c r="T787" s="11" t="s">
        <v>9611</v>
      </c>
      <c r="U787" s="11" t="s">
        <v>9612</v>
      </c>
      <c r="V787" s="17" t="s">
        <v>9613</v>
      </c>
      <c r="W787" s="17" t="s">
        <v>110</v>
      </c>
      <c r="X787" s="70"/>
      <c r="Y787" s="70"/>
      <c r="Z787" s="13">
        <v>27304</v>
      </c>
      <c r="AA787" s="13"/>
      <c r="AB787" s="13"/>
      <c r="AC787" s="13"/>
      <c r="AD787" s="86"/>
      <c r="AE787" s="70"/>
      <c r="AF787" s="70" t="s">
        <v>207</v>
      </c>
      <c r="AG787" s="14" t="s">
        <v>207</v>
      </c>
      <c r="AH787" s="14" t="s">
        <v>207</v>
      </c>
      <c r="AI787" s="70" t="s">
        <v>207</v>
      </c>
      <c r="AJ787" s="14" t="s">
        <v>207</v>
      </c>
      <c r="AK787" s="14" t="s">
        <v>207</v>
      </c>
      <c r="AL787" s="14" t="s">
        <v>207</v>
      </c>
      <c r="AM787" s="14" t="s">
        <v>207</v>
      </c>
      <c r="AN787" s="14" t="s">
        <v>207</v>
      </c>
      <c r="AO787" s="14" t="s">
        <v>207</v>
      </c>
      <c r="AP787" s="14" t="s">
        <v>207</v>
      </c>
      <c r="AQ787" s="14" t="s">
        <v>207</v>
      </c>
      <c r="AR787" s="14" t="s">
        <v>207</v>
      </c>
      <c r="AS787" s="14" t="s">
        <v>207</v>
      </c>
      <c r="AT787" s="14" t="s">
        <v>207</v>
      </c>
      <c r="AU787" s="30" t="s">
        <v>9614</v>
      </c>
      <c r="AV787" s="14" t="s">
        <v>207</v>
      </c>
      <c r="AW787" s="74"/>
      <c r="AX787" s="1"/>
      <c r="AY787" s="17" t="s">
        <v>101</v>
      </c>
    </row>
    <row r="788" spans="1:51" ht="12.75" customHeight="1" x14ac:dyDescent="0.25">
      <c r="A788" s="5">
        <v>754</v>
      </c>
      <c r="B788" s="9">
        <v>754</v>
      </c>
      <c r="C788" s="9" t="s">
        <v>9615</v>
      </c>
      <c r="D788" s="57" t="str">
        <f>HYPERLINK("http://prodenv.dep.state.fl.us/DepNexus/public/electronic-documents/OG_754/facility!search","OG_754_Docs")</f>
        <v>OG_754_Docs</v>
      </c>
      <c r="E788" s="57" t="str">
        <f>HYPERLINK("https://ca.dep.state.fl.us/mapdirect/?focus=oilandgas&amp;zoom=query&amp;querytype=oilandgas&amp;queryvalues=OG_754","OG_754_Map")</f>
        <v>OG_754_Map</v>
      </c>
      <c r="F788" s="1" t="s">
        <v>290</v>
      </c>
      <c r="G788" s="1" t="s">
        <v>79</v>
      </c>
      <c r="H788" s="1" t="s">
        <v>9616</v>
      </c>
      <c r="I788" s="1" t="s">
        <v>8562</v>
      </c>
      <c r="J788" s="17" t="s">
        <v>82</v>
      </c>
      <c r="K788" s="17" t="s">
        <v>83</v>
      </c>
      <c r="L788" s="17"/>
      <c r="M788" s="17" t="s">
        <v>101</v>
      </c>
      <c r="N788" s="52" t="s">
        <v>9617</v>
      </c>
      <c r="O788" s="17" t="s">
        <v>270</v>
      </c>
      <c r="P788" s="17" t="s">
        <v>3395</v>
      </c>
      <c r="Q788" s="81" t="s">
        <v>8563</v>
      </c>
      <c r="R788" s="11">
        <v>25.790683000000001</v>
      </c>
      <c r="S788" s="11">
        <v>-80.889134999999996</v>
      </c>
      <c r="T788" s="11" t="s">
        <v>8564</v>
      </c>
      <c r="U788" s="11" t="s">
        <v>8565</v>
      </c>
      <c r="V788" s="17" t="s">
        <v>9618</v>
      </c>
      <c r="W788" s="17" t="s">
        <v>110</v>
      </c>
      <c r="X788" s="70">
        <v>17</v>
      </c>
      <c r="Y788" s="70">
        <v>5</v>
      </c>
      <c r="Z788" s="13">
        <v>27304</v>
      </c>
      <c r="AA788" s="13">
        <v>27447</v>
      </c>
      <c r="AB788" s="13">
        <v>27491</v>
      </c>
      <c r="AC788" s="13">
        <v>27491</v>
      </c>
      <c r="AD788" s="86">
        <v>12865</v>
      </c>
      <c r="AE788" s="86">
        <v>12865</v>
      </c>
      <c r="AF788" s="70" t="s">
        <v>9619</v>
      </c>
      <c r="AG788" s="17" t="s">
        <v>9620</v>
      </c>
      <c r="AH788" s="17" t="s">
        <v>9621</v>
      </c>
      <c r="AI788" s="70" t="s">
        <v>94</v>
      </c>
      <c r="AJ788" s="17" t="s">
        <v>94</v>
      </c>
      <c r="AK788" s="17" t="s">
        <v>95</v>
      </c>
      <c r="AL788" s="17" t="s">
        <v>9622</v>
      </c>
      <c r="AM788" s="17" t="s">
        <v>95</v>
      </c>
      <c r="AN788" s="17" t="s">
        <v>9623</v>
      </c>
      <c r="AO788" s="17" t="s">
        <v>98</v>
      </c>
      <c r="AP788" s="17" t="s">
        <v>98</v>
      </c>
      <c r="AQ788" s="17" t="s">
        <v>98</v>
      </c>
      <c r="AR788" s="17" t="s">
        <v>94</v>
      </c>
      <c r="AS788" s="17" t="s">
        <v>9624</v>
      </c>
      <c r="AT788" s="17">
        <v>208</v>
      </c>
      <c r="AU788" s="30" t="s">
        <v>9625</v>
      </c>
      <c r="AV788" s="14">
        <v>12692</v>
      </c>
      <c r="AW788" s="74"/>
      <c r="AX788" s="1"/>
      <c r="AY788" s="17" t="s">
        <v>101</v>
      </c>
    </row>
    <row r="789" spans="1:51" ht="12.75" customHeight="1" x14ac:dyDescent="0.25">
      <c r="A789" s="5">
        <v>755</v>
      </c>
      <c r="B789" s="9">
        <v>755</v>
      </c>
      <c r="C789" s="9" t="s">
        <v>9626</v>
      </c>
      <c r="D789" s="57" t="str">
        <f>HYPERLINK("http://prodenv.dep.state.fl.us/DepNexus/public/electronic-documents/OG_755/facility!search","OG_755_Docs")</f>
        <v>OG_755_Docs</v>
      </c>
      <c r="E789" s="57" t="str">
        <f>HYPERLINK("https://ca.dep.state.fl.us/mapdirect/?focus=oilandgas&amp;zoom=query&amp;querytype=oilandgas&amp;queryvalues=OG_755","OG_755_Map")</f>
        <v>OG_755_Map</v>
      </c>
      <c r="F789" s="1" t="s">
        <v>3006</v>
      </c>
      <c r="G789" s="1" t="s">
        <v>79</v>
      </c>
      <c r="H789" s="1" t="s">
        <v>8093</v>
      </c>
      <c r="I789" s="1" t="s">
        <v>9627</v>
      </c>
      <c r="J789" s="17" t="s">
        <v>207</v>
      </c>
      <c r="K789" s="17" t="s">
        <v>208</v>
      </c>
      <c r="L789" s="17"/>
      <c r="M789" s="17" t="s">
        <v>207</v>
      </c>
      <c r="N789" s="52" t="s">
        <v>86</v>
      </c>
      <c r="O789" s="17" t="s">
        <v>86</v>
      </c>
      <c r="P789" s="17" t="s">
        <v>86</v>
      </c>
      <c r="Q789" s="81" t="s">
        <v>9628</v>
      </c>
      <c r="R789" s="11">
        <v>27.304631000000001</v>
      </c>
      <c r="S789" s="11">
        <v>-80.461262000000005</v>
      </c>
      <c r="T789" s="11" t="s">
        <v>9629</v>
      </c>
      <c r="U789" s="11" t="s">
        <v>9630</v>
      </c>
      <c r="V789" s="17" t="s">
        <v>9631</v>
      </c>
      <c r="W789" s="17" t="s">
        <v>110</v>
      </c>
      <c r="X789" s="70"/>
      <c r="Y789" s="70"/>
      <c r="Z789" s="13">
        <v>27317</v>
      </c>
      <c r="AA789" s="13"/>
      <c r="AB789" s="13"/>
      <c r="AC789" s="13"/>
      <c r="AD789" s="86"/>
      <c r="AE789" s="70"/>
      <c r="AF789" s="70" t="s">
        <v>207</v>
      </c>
      <c r="AG789" s="17" t="s">
        <v>207</v>
      </c>
      <c r="AH789" s="17" t="s">
        <v>207</v>
      </c>
      <c r="AI789" s="70" t="s">
        <v>207</v>
      </c>
      <c r="AJ789" s="17" t="s">
        <v>207</v>
      </c>
      <c r="AK789" s="17" t="s">
        <v>207</v>
      </c>
      <c r="AL789" s="17" t="s">
        <v>207</v>
      </c>
      <c r="AM789" s="17" t="s">
        <v>207</v>
      </c>
      <c r="AN789" s="17" t="s">
        <v>207</v>
      </c>
      <c r="AO789" s="17" t="s">
        <v>207</v>
      </c>
      <c r="AP789" s="17" t="s">
        <v>207</v>
      </c>
      <c r="AQ789" s="17" t="s">
        <v>207</v>
      </c>
      <c r="AR789" s="17" t="s">
        <v>207</v>
      </c>
      <c r="AS789" s="17" t="s">
        <v>207</v>
      </c>
      <c r="AT789" s="17" t="s">
        <v>207</v>
      </c>
      <c r="AU789" s="30" t="s">
        <v>9632</v>
      </c>
      <c r="AV789" s="14" t="s">
        <v>207</v>
      </c>
      <c r="AW789" s="74"/>
      <c r="AX789" s="1"/>
      <c r="AY789" s="17" t="s">
        <v>101</v>
      </c>
    </row>
    <row r="790" spans="1:51" ht="12.75" customHeight="1" x14ac:dyDescent="0.25">
      <c r="A790" s="5">
        <v>756</v>
      </c>
      <c r="B790" s="9">
        <v>756</v>
      </c>
      <c r="C790" s="9" t="s">
        <v>9633</v>
      </c>
      <c r="D790" s="57" t="str">
        <f>HYPERLINK("http://prodenv.dep.state.fl.us/DepNexus/public/electronic-documents/OG_756/facility!search","OG_756_Docs")</f>
        <v>OG_756_Docs</v>
      </c>
      <c r="E790" s="57" t="str">
        <f>HYPERLINK("https://ca.dep.state.fl.us/mapdirect/?focus=oilandgas&amp;zoom=query&amp;querytype=oilandgas&amp;queryvalues=OG_756","OG_756_Map")</f>
        <v>OG_756_Map</v>
      </c>
      <c r="F790" s="1" t="s">
        <v>2026</v>
      </c>
      <c r="G790" s="1" t="s">
        <v>9085</v>
      </c>
      <c r="H790" s="1" t="s">
        <v>8261</v>
      </c>
      <c r="I790" s="1" t="s">
        <v>9634</v>
      </c>
      <c r="J790" s="17" t="s">
        <v>207</v>
      </c>
      <c r="K790" s="17" t="s">
        <v>208</v>
      </c>
      <c r="L790" s="17"/>
      <c r="M790" s="17" t="s">
        <v>207</v>
      </c>
      <c r="N790" s="52" t="s">
        <v>86</v>
      </c>
      <c r="O790" s="17" t="s">
        <v>86</v>
      </c>
      <c r="P790" s="17" t="s">
        <v>86</v>
      </c>
      <c r="Q790" s="81" t="s">
        <v>9635</v>
      </c>
      <c r="R790" s="11">
        <v>26.641703</v>
      </c>
      <c r="S790" s="11">
        <v>-81.711944000000003</v>
      </c>
      <c r="T790" s="11" t="s">
        <v>9636</v>
      </c>
      <c r="U790" s="11" t="s">
        <v>9637</v>
      </c>
      <c r="V790" s="17" t="s">
        <v>9638</v>
      </c>
      <c r="W790" s="17" t="s">
        <v>110</v>
      </c>
      <c r="X790" s="70"/>
      <c r="Y790" s="70"/>
      <c r="Z790" s="13">
        <v>27317</v>
      </c>
      <c r="AA790" s="13"/>
      <c r="AB790" s="13"/>
      <c r="AC790" s="13"/>
      <c r="AD790" s="86"/>
      <c r="AE790" s="70"/>
      <c r="AF790" s="70" t="s">
        <v>207</v>
      </c>
      <c r="AG790" s="17" t="s">
        <v>207</v>
      </c>
      <c r="AH790" s="17" t="s">
        <v>207</v>
      </c>
      <c r="AI790" s="70" t="s">
        <v>207</v>
      </c>
      <c r="AJ790" s="17" t="s">
        <v>207</v>
      </c>
      <c r="AK790" s="17" t="s">
        <v>207</v>
      </c>
      <c r="AL790" s="17" t="s">
        <v>207</v>
      </c>
      <c r="AM790" s="17" t="s">
        <v>207</v>
      </c>
      <c r="AN790" s="17" t="s">
        <v>207</v>
      </c>
      <c r="AO790" s="17" t="s">
        <v>207</v>
      </c>
      <c r="AP790" s="17" t="s">
        <v>207</v>
      </c>
      <c r="AQ790" s="17" t="s">
        <v>207</v>
      </c>
      <c r="AR790" s="17" t="s">
        <v>207</v>
      </c>
      <c r="AS790" s="17" t="s">
        <v>207</v>
      </c>
      <c r="AT790" s="17" t="s">
        <v>207</v>
      </c>
      <c r="AU790" s="30" t="s">
        <v>9639</v>
      </c>
      <c r="AV790" s="14" t="s">
        <v>207</v>
      </c>
      <c r="AW790" s="74"/>
      <c r="AX790" s="1"/>
      <c r="AY790" s="17" t="s">
        <v>101</v>
      </c>
    </row>
    <row r="791" spans="1:51" ht="12.75" customHeight="1" x14ac:dyDescent="0.25">
      <c r="A791" s="5">
        <v>757</v>
      </c>
      <c r="B791" s="9">
        <v>757</v>
      </c>
      <c r="C791" s="9" t="s">
        <v>9640</v>
      </c>
      <c r="D791" s="57" t="str">
        <f>HYPERLINK("http://prodenv.dep.state.fl.us/DepNexus/public/electronic-documents/OG_757/facility!search","OG_757_Docs")</f>
        <v>OG_757_Docs</v>
      </c>
      <c r="E791" s="57" t="str">
        <f>HYPERLINK("https://ca.dep.state.fl.us/mapdirect/?focus=oilandgas&amp;zoom=query&amp;querytype=oilandgas&amp;queryvalues=OG_757","OG_757_Map")</f>
        <v>OG_757_Map</v>
      </c>
      <c r="F791" s="1" t="s">
        <v>2026</v>
      </c>
      <c r="G791" s="1" t="s">
        <v>4496</v>
      </c>
      <c r="H791" s="1" t="s">
        <v>8261</v>
      </c>
      <c r="I791" s="1" t="s">
        <v>9641</v>
      </c>
      <c r="J791" s="17" t="s">
        <v>207</v>
      </c>
      <c r="K791" s="17" t="s">
        <v>208</v>
      </c>
      <c r="L791" s="17"/>
      <c r="M791" s="17" t="s">
        <v>207</v>
      </c>
      <c r="N791" s="52" t="s">
        <v>86</v>
      </c>
      <c r="O791" s="17" t="s">
        <v>86</v>
      </c>
      <c r="P791" s="17" t="s">
        <v>86</v>
      </c>
      <c r="Q791" s="81" t="s">
        <v>9642</v>
      </c>
      <c r="R791" s="11">
        <v>26.556054</v>
      </c>
      <c r="S791" s="11">
        <v>-81.581594999999993</v>
      </c>
      <c r="T791" s="11" t="s">
        <v>9643</v>
      </c>
      <c r="U791" s="11" t="s">
        <v>9644</v>
      </c>
      <c r="V791" s="17" t="s">
        <v>9645</v>
      </c>
      <c r="W791" s="17" t="s">
        <v>110</v>
      </c>
      <c r="X791" s="70"/>
      <c r="Y791" s="70"/>
      <c r="Z791" s="13">
        <v>27317</v>
      </c>
      <c r="AA791" s="13"/>
      <c r="AB791" s="13"/>
      <c r="AC791" s="13"/>
      <c r="AD791" s="86"/>
      <c r="AE791" s="70"/>
      <c r="AF791" s="70" t="s">
        <v>207</v>
      </c>
      <c r="AG791" s="17" t="s">
        <v>207</v>
      </c>
      <c r="AH791" s="17" t="s">
        <v>207</v>
      </c>
      <c r="AI791" s="70" t="s">
        <v>207</v>
      </c>
      <c r="AJ791" s="17" t="s">
        <v>207</v>
      </c>
      <c r="AK791" s="17" t="s">
        <v>207</v>
      </c>
      <c r="AL791" s="17" t="s">
        <v>207</v>
      </c>
      <c r="AM791" s="17" t="s">
        <v>207</v>
      </c>
      <c r="AN791" s="17" t="s">
        <v>207</v>
      </c>
      <c r="AO791" s="17" t="s">
        <v>207</v>
      </c>
      <c r="AP791" s="17" t="s">
        <v>207</v>
      </c>
      <c r="AQ791" s="17" t="s">
        <v>207</v>
      </c>
      <c r="AR791" s="17" t="s">
        <v>207</v>
      </c>
      <c r="AS791" s="17" t="s">
        <v>207</v>
      </c>
      <c r="AT791" s="17" t="s">
        <v>207</v>
      </c>
      <c r="AU791" s="30" t="s">
        <v>9646</v>
      </c>
      <c r="AV791" s="14" t="s">
        <v>207</v>
      </c>
      <c r="AW791" s="74"/>
      <c r="AX791" s="1"/>
      <c r="AY791" s="17" t="s">
        <v>101</v>
      </c>
    </row>
    <row r="792" spans="1:51" ht="12.75" customHeight="1" x14ac:dyDescent="0.25">
      <c r="A792" s="5">
        <v>758</v>
      </c>
      <c r="B792" s="9">
        <v>758</v>
      </c>
      <c r="C792" s="9" t="s">
        <v>9647</v>
      </c>
      <c r="D792" s="57" t="str">
        <f>HYPERLINK("http://prodenv.dep.state.fl.us/DepNexus/public/electronic-documents/OG_758/facility!search","OG_758_Docs")</f>
        <v>OG_758_Docs</v>
      </c>
      <c r="E792" s="57" t="str">
        <f>HYPERLINK("https://ca.dep.state.fl.us/mapdirect/?focus=oilandgas&amp;zoom=query&amp;querytype=oilandgas&amp;queryvalues=OG_758","OG_758_Map")</f>
        <v>OG_758_Map</v>
      </c>
      <c r="F792" s="1" t="s">
        <v>2026</v>
      </c>
      <c r="G792" s="1" t="s">
        <v>9085</v>
      </c>
      <c r="H792" s="1" t="s">
        <v>8261</v>
      </c>
      <c r="I792" s="1" t="s">
        <v>9648</v>
      </c>
      <c r="J792" s="17" t="s">
        <v>82</v>
      </c>
      <c r="K792" s="17" t="s">
        <v>83</v>
      </c>
      <c r="L792" s="17"/>
      <c r="M792" s="17" t="s">
        <v>101</v>
      </c>
      <c r="N792" s="52" t="s">
        <v>86</v>
      </c>
      <c r="O792" s="17" t="s">
        <v>86</v>
      </c>
      <c r="P792" s="17" t="s">
        <v>86</v>
      </c>
      <c r="Q792" s="81" t="s">
        <v>9649</v>
      </c>
      <c r="R792" s="11">
        <v>26.652031000000001</v>
      </c>
      <c r="S792" s="11">
        <v>-81.725414999999998</v>
      </c>
      <c r="T792" s="11" t="s">
        <v>9650</v>
      </c>
      <c r="U792" s="11" t="s">
        <v>9651</v>
      </c>
      <c r="V792" s="17" t="s">
        <v>9652</v>
      </c>
      <c r="W792" s="17" t="s">
        <v>110</v>
      </c>
      <c r="X792" s="70">
        <v>43.3</v>
      </c>
      <c r="Y792" s="70">
        <v>20</v>
      </c>
      <c r="Z792" s="13">
        <v>27317</v>
      </c>
      <c r="AA792" s="13">
        <v>27372</v>
      </c>
      <c r="AB792" s="13"/>
      <c r="AC792" s="13">
        <v>32289</v>
      </c>
      <c r="AD792" s="86">
        <v>12601</v>
      </c>
      <c r="AE792" s="86">
        <v>12601</v>
      </c>
      <c r="AF792" s="70" t="s">
        <v>9653</v>
      </c>
      <c r="AG792" s="17" t="s">
        <v>9162</v>
      </c>
      <c r="AH792" s="17" t="s">
        <v>5056</v>
      </c>
      <c r="AI792" s="70" t="s">
        <v>94</v>
      </c>
      <c r="AJ792" s="17" t="s">
        <v>94</v>
      </c>
      <c r="AK792" s="17" t="s">
        <v>95</v>
      </c>
      <c r="AL792" s="17" t="s">
        <v>9654</v>
      </c>
      <c r="AM792" s="17" t="s">
        <v>94</v>
      </c>
      <c r="AN792" s="17" t="s">
        <v>94</v>
      </c>
      <c r="AO792" s="17" t="s">
        <v>98</v>
      </c>
      <c r="AP792" s="17" t="s">
        <v>98</v>
      </c>
      <c r="AQ792" s="17" t="s">
        <v>98</v>
      </c>
      <c r="AR792" s="17" t="s">
        <v>94</v>
      </c>
      <c r="AS792" s="17" t="s">
        <v>9655</v>
      </c>
      <c r="AT792" s="17"/>
      <c r="AU792" s="30" t="s">
        <v>9656</v>
      </c>
      <c r="AV792" s="14">
        <v>12644</v>
      </c>
      <c r="AW792" s="74"/>
      <c r="AX792" s="1"/>
      <c r="AY792" s="17" t="s">
        <v>101</v>
      </c>
    </row>
    <row r="793" spans="1:51" ht="12.75" customHeight="1" x14ac:dyDescent="0.25">
      <c r="A793" s="5">
        <v>759</v>
      </c>
      <c r="B793" s="9">
        <v>759</v>
      </c>
      <c r="C793" s="9" t="s">
        <v>9657</v>
      </c>
      <c r="D793" s="57" t="str">
        <f>HYPERLINK("http://prodenv.dep.state.fl.us/DepNexus/public/electronic-documents/OG_759/facility!search","OG_759_Docs")</f>
        <v>OG_759_Docs</v>
      </c>
      <c r="E793" s="57" t="str">
        <f>HYPERLINK("https://ca.dep.state.fl.us/mapdirect/?focus=oilandgas&amp;zoom=query&amp;querytype=oilandgas&amp;queryvalues=OG_759","OG_759_Map")</f>
        <v>OG_759_Map</v>
      </c>
      <c r="F793" s="1" t="s">
        <v>2819</v>
      </c>
      <c r="G793" s="1" t="s">
        <v>79</v>
      </c>
      <c r="H793" s="1" t="s">
        <v>8093</v>
      </c>
      <c r="I793" s="1" t="s">
        <v>9658</v>
      </c>
      <c r="J793" s="17" t="s">
        <v>82</v>
      </c>
      <c r="K793" s="17" t="s">
        <v>83</v>
      </c>
      <c r="L793" s="17"/>
      <c r="M793" s="17" t="s">
        <v>101</v>
      </c>
      <c r="N793" s="52" t="s">
        <v>9659</v>
      </c>
      <c r="O793" s="17" t="s">
        <v>86</v>
      </c>
      <c r="P793" s="17" t="s">
        <v>86</v>
      </c>
      <c r="Q793" s="81" t="s">
        <v>9660</v>
      </c>
      <c r="R793" s="11">
        <v>27.559673</v>
      </c>
      <c r="S793" s="11">
        <v>-82.272615000000002</v>
      </c>
      <c r="T793" s="11" t="s">
        <v>9661</v>
      </c>
      <c r="U793" s="11" t="s">
        <v>9662</v>
      </c>
      <c r="V793" s="17" t="s">
        <v>9663</v>
      </c>
      <c r="W793" s="17" t="s">
        <v>110</v>
      </c>
      <c r="X793" s="70">
        <v>33</v>
      </c>
      <c r="Y793" s="70">
        <v>25</v>
      </c>
      <c r="Z793" s="13">
        <v>27331</v>
      </c>
      <c r="AA793" s="13">
        <v>27372</v>
      </c>
      <c r="AB793" s="13">
        <v>27478</v>
      </c>
      <c r="AC793" s="13">
        <v>27478</v>
      </c>
      <c r="AD793" s="86">
        <v>11500</v>
      </c>
      <c r="AE793" s="86">
        <v>11500</v>
      </c>
      <c r="AF793" s="70" t="s">
        <v>9664</v>
      </c>
      <c r="AG793" s="17" t="s">
        <v>9665</v>
      </c>
      <c r="AH793" s="17" t="s">
        <v>94</v>
      </c>
      <c r="AI793" s="70" t="s">
        <v>94</v>
      </c>
      <c r="AJ793" s="17" t="s">
        <v>94</v>
      </c>
      <c r="AK793" s="17" t="s">
        <v>95</v>
      </c>
      <c r="AL793" s="17" t="s">
        <v>86</v>
      </c>
      <c r="AM793" s="17" t="s">
        <v>94</v>
      </c>
      <c r="AN793" s="17" t="s">
        <v>94</v>
      </c>
      <c r="AO793" s="17" t="s">
        <v>98</v>
      </c>
      <c r="AP793" s="17" t="s">
        <v>98</v>
      </c>
      <c r="AQ793" s="17" t="s">
        <v>98</v>
      </c>
      <c r="AR793" s="17" t="s">
        <v>94</v>
      </c>
      <c r="AS793" s="17" t="s">
        <v>9666</v>
      </c>
      <c r="AT793" s="17">
        <v>186</v>
      </c>
      <c r="AU793" s="30" t="s">
        <v>9667</v>
      </c>
      <c r="AV793" s="14">
        <v>12691</v>
      </c>
      <c r="AW793" s="74"/>
      <c r="AX793" s="1"/>
      <c r="AY793" s="17" t="s">
        <v>101</v>
      </c>
    </row>
    <row r="794" spans="1:51" ht="12.75" customHeight="1" x14ac:dyDescent="0.25">
      <c r="A794" s="5">
        <v>760</v>
      </c>
      <c r="B794" s="9">
        <v>760</v>
      </c>
      <c r="C794" s="9" t="s">
        <v>9668</v>
      </c>
      <c r="D794" s="57" t="str">
        <f>HYPERLINK("http://prodenv.dep.state.fl.us/DepNexus/public/electronic-documents/OG_760/facility!search","OG_760_Docs")</f>
        <v>OG_760_Docs</v>
      </c>
      <c r="E794" s="57" t="str">
        <f>HYPERLINK("https://ca.dep.state.fl.us/mapdirect/?focus=oilandgas&amp;zoom=query&amp;querytype=oilandgas&amp;queryvalues=OG_760","OG_760_Map")</f>
        <v>OG_760_Map</v>
      </c>
      <c r="F794" s="1" t="s">
        <v>265</v>
      </c>
      <c r="G794" s="1" t="s">
        <v>79</v>
      </c>
      <c r="H794" s="1" t="s">
        <v>7292</v>
      </c>
      <c r="I794" s="1" t="s">
        <v>9669</v>
      </c>
      <c r="J794" s="17" t="s">
        <v>82</v>
      </c>
      <c r="K794" s="17" t="s">
        <v>83</v>
      </c>
      <c r="L794" s="17"/>
      <c r="M794" s="17" t="s">
        <v>101</v>
      </c>
      <c r="N794" s="52" t="s">
        <v>6529</v>
      </c>
      <c r="O794" s="17" t="s">
        <v>270</v>
      </c>
      <c r="P794" s="17" t="s">
        <v>86</v>
      </c>
      <c r="Q794" s="81" t="s">
        <v>9670</v>
      </c>
      <c r="R794" s="11">
        <v>26.452459000000001</v>
      </c>
      <c r="S794" s="11">
        <v>-81.357218000000003</v>
      </c>
      <c r="T794" s="11" t="s">
        <v>9671</v>
      </c>
      <c r="U794" s="11" t="s">
        <v>9672</v>
      </c>
      <c r="V794" s="17" t="s">
        <v>9673</v>
      </c>
      <c r="W794" s="17" t="s">
        <v>110</v>
      </c>
      <c r="X794" s="70">
        <v>45</v>
      </c>
      <c r="Y794" s="70">
        <v>29</v>
      </c>
      <c r="Z794" s="13">
        <v>27345</v>
      </c>
      <c r="AA794" s="13">
        <v>27366</v>
      </c>
      <c r="AB794" s="13"/>
      <c r="AC794" s="13">
        <v>27413</v>
      </c>
      <c r="AD794" s="86">
        <v>11786</v>
      </c>
      <c r="AE794" s="86">
        <v>11786</v>
      </c>
      <c r="AF794" s="70" t="s">
        <v>9674</v>
      </c>
      <c r="AG794" s="17" t="s">
        <v>9675</v>
      </c>
      <c r="AH794" s="17" t="s">
        <v>9676</v>
      </c>
      <c r="AI794" s="70" t="s">
        <v>94</v>
      </c>
      <c r="AJ794" s="17" t="s">
        <v>94</v>
      </c>
      <c r="AK794" s="17" t="s">
        <v>94</v>
      </c>
      <c r="AL794" s="17" t="s">
        <v>94</v>
      </c>
      <c r="AM794" s="17" t="s">
        <v>94</v>
      </c>
      <c r="AN794" s="17" t="s">
        <v>94</v>
      </c>
      <c r="AO794" s="17" t="s">
        <v>98</v>
      </c>
      <c r="AP794" s="17" t="s">
        <v>98</v>
      </c>
      <c r="AQ794" s="17" t="s">
        <v>98</v>
      </c>
      <c r="AR794" s="17" t="s">
        <v>94</v>
      </c>
      <c r="AS794" s="17" t="s">
        <v>9677</v>
      </c>
      <c r="AT794" s="17">
        <v>192</v>
      </c>
      <c r="AU794" s="30" t="s">
        <v>9678</v>
      </c>
      <c r="AV794" s="14">
        <v>12610</v>
      </c>
      <c r="AW794" s="74"/>
      <c r="AX794" s="1"/>
      <c r="AY794" s="17" t="s">
        <v>101</v>
      </c>
    </row>
    <row r="795" spans="1:51" ht="12.75" customHeight="1" x14ac:dyDescent="0.25">
      <c r="A795" s="5">
        <v>761</v>
      </c>
      <c r="B795" s="9">
        <v>761</v>
      </c>
      <c r="C795" s="9" t="s">
        <v>9679</v>
      </c>
      <c r="D795" s="57" t="str">
        <f>HYPERLINK("http://prodenv.dep.state.fl.us/DepNexus/public/electronic-documents/OG_761/facility!search","OG_761_Docs")</f>
        <v>OG_761_Docs</v>
      </c>
      <c r="E795" s="57" t="str">
        <f>HYPERLINK("https://ca.dep.state.fl.us/mapdirect/?focus=oilandgas&amp;zoom=query&amp;querytype=oilandgas&amp;queryvalues=OG_761","OG_761_Map")</f>
        <v>OG_761_Map</v>
      </c>
      <c r="F795" s="1" t="s">
        <v>265</v>
      </c>
      <c r="G795" s="1" t="s">
        <v>7239</v>
      </c>
      <c r="H795" s="1" t="s">
        <v>1363</v>
      </c>
      <c r="I795" s="1" t="s">
        <v>6188</v>
      </c>
      <c r="J795" s="17" t="s">
        <v>1365</v>
      </c>
      <c r="K795" s="17" t="s">
        <v>1366</v>
      </c>
      <c r="L795" s="17"/>
      <c r="M795" s="17"/>
      <c r="N795" s="52" t="s">
        <v>9680</v>
      </c>
      <c r="O795" s="17" t="s">
        <v>270</v>
      </c>
      <c r="P795" s="17" t="s">
        <v>3395</v>
      </c>
      <c r="Q795" s="81" t="s">
        <v>7241</v>
      </c>
      <c r="R795" s="11">
        <v>26.231466000000001</v>
      </c>
      <c r="S795" s="11">
        <v>-81.287836999999996</v>
      </c>
      <c r="T795" s="11" t="s">
        <v>9681</v>
      </c>
      <c r="U795" s="11" t="s">
        <v>9682</v>
      </c>
      <c r="V795" s="17" t="s">
        <v>9683</v>
      </c>
      <c r="W795" s="17" t="s">
        <v>110</v>
      </c>
      <c r="X795" s="70">
        <v>33.5</v>
      </c>
      <c r="Y795" s="70">
        <v>15.7</v>
      </c>
      <c r="Z795" s="13">
        <v>27345</v>
      </c>
      <c r="AA795" s="13">
        <v>27353</v>
      </c>
      <c r="AB795" s="13">
        <v>27363</v>
      </c>
      <c r="AC795" s="13"/>
      <c r="AD795" s="86">
        <v>2500</v>
      </c>
      <c r="AE795" s="86">
        <v>2500</v>
      </c>
      <c r="AF795" s="70"/>
      <c r="AG795" s="17" t="s">
        <v>9684</v>
      </c>
      <c r="AH795" s="17" t="s">
        <v>9685</v>
      </c>
      <c r="AI795" s="70" t="s">
        <v>9686</v>
      </c>
      <c r="AJ795" s="17" t="s">
        <v>9687</v>
      </c>
      <c r="AK795" s="17" t="s">
        <v>94</v>
      </c>
      <c r="AL795" s="17" t="s">
        <v>94</v>
      </c>
      <c r="AM795" s="17" t="s">
        <v>94</v>
      </c>
      <c r="AN795" s="17" t="s">
        <v>94</v>
      </c>
      <c r="AO795" s="17" t="s">
        <v>94</v>
      </c>
      <c r="AP795" s="17" t="s">
        <v>94</v>
      </c>
      <c r="AQ795" s="17" t="s">
        <v>94</v>
      </c>
      <c r="AR795" s="17" t="s">
        <v>9550</v>
      </c>
      <c r="AS795" s="17"/>
      <c r="AT795" s="17"/>
      <c r="AU795" s="30" t="s">
        <v>9688</v>
      </c>
      <c r="AV795" s="14" t="s">
        <v>94</v>
      </c>
      <c r="AW795" s="74">
        <v>314437</v>
      </c>
      <c r="AX795" s="1" t="s">
        <v>9689</v>
      </c>
      <c r="AY795" s="17" t="s">
        <v>101</v>
      </c>
    </row>
    <row r="796" spans="1:51" ht="12.75" customHeight="1" x14ac:dyDescent="0.25">
      <c r="A796" s="5">
        <v>762</v>
      </c>
      <c r="B796" s="9">
        <v>762</v>
      </c>
      <c r="C796" s="9" t="s">
        <v>9690</v>
      </c>
      <c r="D796" s="57" t="str">
        <f>HYPERLINK("http://prodenv.dep.state.fl.us/DepNexus/public/electronic-documents/OG_762/facility!search","OG_762_Docs")</f>
        <v>OG_762_Docs</v>
      </c>
      <c r="E796" s="57" t="str">
        <f>HYPERLINK("https://ca.dep.state.fl.us/mapdirect/?focus=oilandgas&amp;zoom=query&amp;querytype=oilandgas&amp;queryvalues=OG_762","OG_762_Map")</f>
        <v>OG_762_Map</v>
      </c>
      <c r="F796" s="1" t="s">
        <v>539</v>
      </c>
      <c r="G796" s="1" t="s">
        <v>79</v>
      </c>
      <c r="H796" s="1" t="s">
        <v>8851</v>
      </c>
      <c r="I796" s="1" t="s">
        <v>9691</v>
      </c>
      <c r="J796" s="17" t="s">
        <v>82</v>
      </c>
      <c r="K796" s="17" t="s">
        <v>83</v>
      </c>
      <c r="L796" s="17"/>
      <c r="M796" s="17" t="s">
        <v>101</v>
      </c>
      <c r="N796" s="52" t="s">
        <v>4735</v>
      </c>
      <c r="O796" s="17" t="s">
        <v>86</v>
      </c>
      <c r="P796" s="17" t="s">
        <v>86</v>
      </c>
      <c r="Q796" s="81" t="s">
        <v>9692</v>
      </c>
      <c r="R796" s="11">
        <v>29.798313</v>
      </c>
      <c r="S796" s="11">
        <v>-85.192173999999994</v>
      </c>
      <c r="T796" s="11" t="s">
        <v>9693</v>
      </c>
      <c r="U796" s="11" t="s">
        <v>9694</v>
      </c>
      <c r="V796" s="17" t="s">
        <v>9695</v>
      </c>
      <c r="W796" s="17" t="s">
        <v>110</v>
      </c>
      <c r="X796" s="70">
        <v>24.3</v>
      </c>
      <c r="Y796" s="70">
        <v>3.3</v>
      </c>
      <c r="Z796" s="13">
        <v>27359</v>
      </c>
      <c r="AA796" s="13">
        <v>27377</v>
      </c>
      <c r="AB796" s="13"/>
      <c r="AC796" s="13">
        <v>27445</v>
      </c>
      <c r="AD796" s="86">
        <v>14570</v>
      </c>
      <c r="AE796" s="86">
        <v>14570</v>
      </c>
      <c r="AF796" s="70" t="s">
        <v>9696</v>
      </c>
      <c r="AG796" s="17" t="s">
        <v>9697</v>
      </c>
      <c r="AH796" s="17" t="s">
        <v>9698</v>
      </c>
      <c r="AI796" s="70" t="s">
        <v>94</v>
      </c>
      <c r="AJ796" s="17" t="s">
        <v>94</v>
      </c>
      <c r="AK796" s="17" t="s">
        <v>94</v>
      </c>
      <c r="AL796" s="17" t="s">
        <v>94</v>
      </c>
      <c r="AM796" s="17" t="s">
        <v>94</v>
      </c>
      <c r="AN796" s="17" t="s">
        <v>94</v>
      </c>
      <c r="AO796" s="17" t="s">
        <v>98</v>
      </c>
      <c r="AP796" s="17" t="s">
        <v>98</v>
      </c>
      <c r="AQ796" s="17" t="s">
        <v>98</v>
      </c>
      <c r="AR796" s="17" t="s">
        <v>94</v>
      </c>
      <c r="AS796" s="17" t="s">
        <v>9699</v>
      </c>
      <c r="AT796" s="17"/>
      <c r="AU796" s="30" t="s">
        <v>9700</v>
      </c>
      <c r="AV796" s="14">
        <v>12617</v>
      </c>
      <c r="AW796" s="74"/>
      <c r="AX796" s="1"/>
      <c r="AY796" s="17" t="s">
        <v>101</v>
      </c>
    </row>
    <row r="797" spans="1:51" ht="12.75" customHeight="1" x14ac:dyDescent="0.25">
      <c r="A797" s="5">
        <v>763</v>
      </c>
      <c r="B797" s="9">
        <v>763</v>
      </c>
      <c r="C797" s="9" t="s">
        <v>9701</v>
      </c>
      <c r="D797" s="57" t="str">
        <f>HYPERLINK("http://prodenv.dep.state.fl.us/DepNexus/public/electronic-documents/OG_763/facility!search","OG_763_Docs")</f>
        <v>OG_763_Docs</v>
      </c>
      <c r="E797" s="57" t="str">
        <f>HYPERLINK("https://ca.dep.state.fl.us/mapdirect/?focus=oilandgas&amp;zoom=query&amp;querytype=oilandgas&amp;queryvalues=OG_763","OG_763_Map")</f>
        <v>OG_763_Map</v>
      </c>
      <c r="F797" s="1" t="s">
        <v>1797</v>
      </c>
      <c r="G797" s="1" t="s">
        <v>79</v>
      </c>
      <c r="H797" s="1" t="s">
        <v>8866</v>
      </c>
      <c r="I797" s="1" t="s">
        <v>9702</v>
      </c>
      <c r="J797" s="17" t="s">
        <v>82</v>
      </c>
      <c r="K797" s="17" t="s">
        <v>83</v>
      </c>
      <c r="L797" s="17"/>
      <c r="M797" s="17" t="s">
        <v>84</v>
      </c>
      <c r="N797" s="52" t="s">
        <v>6529</v>
      </c>
      <c r="O797" s="17" t="s">
        <v>86</v>
      </c>
      <c r="P797" s="17" t="s">
        <v>86</v>
      </c>
      <c r="Q797" s="81" t="s">
        <v>9703</v>
      </c>
      <c r="R797" s="11">
        <v>30.656634</v>
      </c>
      <c r="S797" s="11">
        <v>-86.999713</v>
      </c>
      <c r="T797" s="11" t="s">
        <v>9704</v>
      </c>
      <c r="U797" s="11" t="s">
        <v>9705</v>
      </c>
      <c r="V797" s="17" t="s">
        <v>9706</v>
      </c>
      <c r="W797" s="17" t="s">
        <v>110</v>
      </c>
      <c r="X797" s="70">
        <v>19.5</v>
      </c>
      <c r="Y797" s="70">
        <v>14.2</v>
      </c>
      <c r="Z797" s="13">
        <v>27359</v>
      </c>
      <c r="AA797" s="13">
        <v>27424</v>
      </c>
      <c r="AB797" s="13"/>
      <c r="AC797" s="13">
        <v>27508</v>
      </c>
      <c r="AD797" s="86">
        <v>16931</v>
      </c>
      <c r="AE797" s="86">
        <v>16931</v>
      </c>
      <c r="AF797" s="70" t="s">
        <v>7917</v>
      </c>
      <c r="AG797" s="17" t="s">
        <v>7548</v>
      </c>
      <c r="AH797" s="17" t="s">
        <v>94</v>
      </c>
      <c r="AI797" s="70" t="s">
        <v>94</v>
      </c>
      <c r="AJ797" s="17" t="s">
        <v>94</v>
      </c>
      <c r="AK797" s="17" t="s">
        <v>94</v>
      </c>
      <c r="AL797" s="17" t="s">
        <v>94</v>
      </c>
      <c r="AM797" s="17" t="s">
        <v>94</v>
      </c>
      <c r="AN797" s="17" t="s">
        <v>94</v>
      </c>
      <c r="AO797" s="17" t="s">
        <v>98</v>
      </c>
      <c r="AP797" s="17" t="s">
        <v>98</v>
      </c>
      <c r="AQ797" s="17" t="s">
        <v>98</v>
      </c>
      <c r="AR797" s="17" t="s">
        <v>94</v>
      </c>
      <c r="AS797" s="17" t="s">
        <v>9707</v>
      </c>
      <c r="AT797" s="17">
        <v>270</v>
      </c>
      <c r="AU797" s="30" t="s">
        <v>9708</v>
      </c>
      <c r="AV797" s="14">
        <v>12693</v>
      </c>
      <c r="AW797" s="74"/>
      <c r="AX797" s="1"/>
      <c r="AY797" s="17" t="s">
        <v>101</v>
      </c>
    </row>
    <row r="798" spans="1:51" ht="12.75" customHeight="1" x14ac:dyDescent="0.25">
      <c r="A798" s="5">
        <v>764</v>
      </c>
      <c r="B798" s="9">
        <v>764</v>
      </c>
      <c r="C798" s="9" t="s">
        <v>9709</v>
      </c>
      <c r="D798" s="57" t="str">
        <f>HYPERLINK("http://prodenv.dep.state.fl.us/DepNexus/public/electronic-documents/OG_764/facility!search","OG_764_Docs")</f>
        <v>OG_764_Docs</v>
      </c>
      <c r="E798" s="57" t="str">
        <f>HYPERLINK("https://ca.dep.state.fl.us/mapdirect/?focus=oilandgas&amp;zoom=query&amp;querytype=oilandgas&amp;queryvalues=OG_764","OG_764_Map")</f>
        <v>OG_764_Map</v>
      </c>
      <c r="F798" s="1" t="s">
        <v>265</v>
      </c>
      <c r="G798" s="1" t="s">
        <v>4879</v>
      </c>
      <c r="H798" s="1" t="s">
        <v>9710</v>
      </c>
      <c r="I798" s="1" t="s">
        <v>9711</v>
      </c>
      <c r="J798" s="17" t="s">
        <v>207</v>
      </c>
      <c r="K798" s="17" t="s">
        <v>208</v>
      </c>
      <c r="L798" s="17"/>
      <c r="M798" s="17" t="s">
        <v>207</v>
      </c>
      <c r="N798" s="52" t="s">
        <v>86</v>
      </c>
      <c r="O798" s="17" t="s">
        <v>270</v>
      </c>
      <c r="P798" s="17" t="s">
        <v>86</v>
      </c>
      <c r="Q798" s="81" t="s">
        <v>9712</v>
      </c>
      <c r="R798" s="11">
        <v>26.405290000000001</v>
      </c>
      <c r="S798" s="11">
        <v>-81.510710000000003</v>
      </c>
      <c r="T798" s="11" t="s">
        <v>9713</v>
      </c>
      <c r="U798" s="11" t="s">
        <v>9714</v>
      </c>
      <c r="V798" s="17" t="s">
        <v>9715</v>
      </c>
      <c r="W798" s="17" t="s">
        <v>110</v>
      </c>
      <c r="X798" s="70"/>
      <c r="Y798" s="70"/>
      <c r="Z798" s="13">
        <v>27359</v>
      </c>
      <c r="AA798" s="13"/>
      <c r="AB798" s="13"/>
      <c r="AC798" s="13"/>
      <c r="AD798" s="86"/>
      <c r="AE798" s="70"/>
      <c r="AF798" s="70" t="s">
        <v>207</v>
      </c>
      <c r="AG798" s="14" t="s">
        <v>207</v>
      </c>
      <c r="AH798" s="14" t="s">
        <v>207</v>
      </c>
      <c r="AI798" s="70" t="s">
        <v>207</v>
      </c>
      <c r="AJ798" s="14" t="s">
        <v>207</v>
      </c>
      <c r="AK798" s="14" t="s">
        <v>207</v>
      </c>
      <c r="AL798" s="14" t="s">
        <v>207</v>
      </c>
      <c r="AM798" s="14" t="s">
        <v>207</v>
      </c>
      <c r="AN798" s="14" t="s">
        <v>207</v>
      </c>
      <c r="AO798" s="14" t="s">
        <v>207</v>
      </c>
      <c r="AP798" s="14" t="s">
        <v>207</v>
      </c>
      <c r="AQ798" s="14" t="s">
        <v>207</v>
      </c>
      <c r="AR798" s="14" t="s">
        <v>207</v>
      </c>
      <c r="AS798" s="14" t="s">
        <v>207</v>
      </c>
      <c r="AT798" s="14" t="s">
        <v>207</v>
      </c>
      <c r="AU798" s="30" t="s">
        <v>9716</v>
      </c>
      <c r="AV798" s="14" t="s">
        <v>207</v>
      </c>
      <c r="AW798" s="74"/>
      <c r="AX798" s="1"/>
      <c r="AY798" s="17" t="s">
        <v>101</v>
      </c>
    </row>
    <row r="799" spans="1:51" ht="12.75" customHeight="1" x14ac:dyDescent="0.25">
      <c r="A799" s="5">
        <v>765</v>
      </c>
      <c r="B799" s="9">
        <v>765</v>
      </c>
      <c r="C799" s="9" t="s">
        <v>9717</v>
      </c>
      <c r="D799" s="57" t="str">
        <f>HYPERLINK("http://prodenv.dep.state.fl.us/DepNexus/public/electronic-documents/OG_765/facility!search","OG_765_Docs")</f>
        <v>OG_765_Docs</v>
      </c>
      <c r="E799" s="57" t="str">
        <f>HYPERLINK("https://ca.dep.state.fl.us/mapdirect/?focus=oilandgas&amp;zoom=query&amp;querytype=oilandgas&amp;queryvalues=OG_765","OG_765_Map")</f>
        <v>OG_765_Map</v>
      </c>
      <c r="F799" s="1" t="s">
        <v>265</v>
      </c>
      <c r="G799" s="1" t="s">
        <v>79</v>
      </c>
      <c r="H799" s="1" t="s">
        <v>9710</v>
      </c>
      <c r="I799" s="1" t="s">
        <v>9718</v>
      </c>
      <c r="J799" s="17" t="s">
        <v>207</v>
      </c>
      <c r="K799" s="17" t="s">
        <v>208</v>
      </c>
      <c r="L799" s="17"/>
      <c r="M799" s="17" t="s">
        <v>207</v>
      </c>
      <c r="N799" s="52" t="s">
        <v>86</v>
      </c>
      <c r="O799" s="17" t="s">
        <v>270</v>
      </c>
      <c r="P799" s="17" t="s">
        <v>86</v>
      </c>
      <c r="Q799" s="81" t="s">
        <v>9719</v>
      </c>
      <c r="R799" s="11">
        <v>26.122509999999998</v>
      </c>
      <c r="S799" s="11">
        <v>-81.066385999999994</v>
      </c>
      <c r="T799" s="11" t="s">
        <v>9720</v>
      </c>
      <c r="U799" s="11" t="s">
        <v>9721</v>
      </c>
      <c r="V799" s="17" t="s">
        <v>9722</v>
      </c>
      <c r="W799" s="17" t="s">
        <v>110</v>
      </c>
      <c r="X799" s="70"/>
      <c r="Y799" s="70"/>
      <c r="Z799" s="13">
        <v>27359</v>
      </c>
      <c r="AA799" s="13"/>
      <c r="AB799" s="13"/>
      <c r="AC799" s="13"/>
      <c r="AD799" s="86"/>
      <c r="AE799" s="70"/>
      <c r="AF799" s="70" t="s">
        <v>207</v>
      </c>
      <c r="AG799" s="14" t="s">
        <v>207</v>
      </c>
      <c r="AH799" s="14" t="s">
        <v>207</v>
      </c>
      <c r="AI799" s="70" t="s">
        <v>207</v>
      </c>
      <c r="AJ799" s="14" t="s">
        <v>207</v>
      </c>
      <c r="AK799" s="14" t="s">
        <v>207</v>
      </c>
      <c r="AL799" s="14" t="s">
        <v>207</v>
      </c>
      <c r="AM799" s="14" t="s">
        <v>207</v>
      </c>
      <c r="AN799" s="14" t="s">
        <v>207</v>
      </c>
      <c r="AO799" s="14" t="s">
        <v>207</v>
      </c>
      <c r="AP799" s="14" t="s">
        <v>207</v>
      </c>
      <c r="AQ799" s="14" t="s">
        <v>207</v>
      </c>
      <c r="AR799" s="14" t="s">
        <v>207</v>
      </c>
      <c r="AS799" s="14" t="s">
        <v>207</v>
      </c>
      <c r="AT799" s="14" t="s">
        <v>207</v>
      </c>
      <c r="AU799" s="30" t="s">
        <v>9723</v>
      </c>
      <c r="AV799" s="14" t="s">
        <v>207</v>
      </c>
      <c r="AW799" s="74"/>
      <c r="AX799" s="1"/>
      <c r="AY799" s="17" t="s">
        <v>101</v>
      </c>
    </row>
    <row r="800" spans="1:51" ht="12.75" customHeight="1" x14ac:dyDescent="0.25">
      <c r="A800" s="5">
        <v>766</v>
      </c>
      <c r="B800" s="9">
        <v>766</v>
      </c>
      <c r="C800" s="9" t="s">
        <v>9724</v>
      </c>
      <c r="D800" s="57" t="str">
        <f>HYPERLINK("http://prodenv.dep.state.fl.us/DepNexus/public/electronic-documents/OG_766/facility!search","OG_766_Docs")</f>
        <v>OG_766_Docs</v>
      </c>
      <c r="E800" s="57" t="str">
        <f>HYPERLINK("https://ca.dep.state.fl.us/mapdirect/?focus=oilandgas&amp;zoom=query&amp;querytype=oilandgas&amp;queryvalues=OG_766","OG_766_Map")</f>
        <v>OG_766_Map</v>
      </c>
      <c r="F800" s="1" t="s">
        <v>265</v>
      </c>
      <c r="G800" s="1" t="s">
        <v>79</v>
      </c>
      <c r="H800" s="1" t="s">
        <v>9725</v>
      </c>
      <c r="I800" s="1" t="s">
        <v>9726</v>
      </c>
      <c r="J800" s="17" t="s">
        <v>82</v>
      </c>
      <c r="K800" s="17" t="s">
        <v>83</v>
      </c>
      <c r="L800" s="17"/>
      <c r="M800" s="17"/>
      <c r="N800" s="52" t="s">
        <v>6529</v>
      </c>
      <c r="O800" s="17" t="s">
        <v>270</v>
      </c>
      <c r="P800" s="17" t="s">
        <v>3395</v>
      </c>
      <c r="Q800" s="81" t="s">
        <v>9727</v>
      </c>
      <c r="R800" s="11">
        <v>26.078652000000002</v>
      </c>
      <c r="S800" s="11">
        <v>-81.292889000000002</v>
      </c>
      <c r="T800" s="11" t="s">
        <v>9728</v>
      </c>
      <c r="U800" s="11" t="s">
        <v>9729</v>
      </c>
      <c r="V800" s="17" t="s">
        <v>9730</v>
      </c>
      <c r="W800" s="17" t="s">
        <v>110</v>
      </c>
      <c r="X800" s="70">
        <v>17.149999999999999</v>
      </c>
      <c r="Y800" s="70">
        <v>8.4</v>
      </c>
      <c r="Z800" s="13">
        <v>27359</v>
      </c>
      <c r="AA800" s="13">
        <v>27402</v>
      </c>
      <c r="AB800" s="13"/>
      <c r="AC800" s="13">
        <v>27439</v>
      </c>
      <c r="AD800" s="86">
        <v>12011</v>
      </c>
      <c r="AE800" s="86">
        <v>12011</v>
      </c>
      <c r="AF800" s="70" t="s">
        <v>3631</v>
      </c>
      <c r="AG800" s="17" t="s">
        <v>9731</v>
      </c>
      <c r="AH800" s="17" t="s">
        <v>9732</v>
      </c>
      <c r="AI800" s="70" t="s">
        <v>94</v>
      </c>
      <c r="AJ800" s="17" t="s">
        <v>94</v>
      </c>
      <c r="AK800" s="17" t="s">
        <v>94</v>
      </c>
      <c r="AL800" s="17" t="s">
        <v>9733</v>
      </c>
      <c r="AM800" s="17" t="s">
        <v>94</v>
      </c>
      <c r="AN800" s="17" t="s">
        <v>94</v>
      </c>
      <c r="AO800" s="17" t="s">
        <v>98</v>
      </c>
      <c r="AP800" s="17" t="s">
        <v>98</v>
      </c>
      <c r="AQ800" s="17" t="s">
        <v>98</v>
      </c>
      <c r="AR800" s="17" t="s">
        <v>94</v>
      </c>
      <c r="AS800" s="17" t="s">
        <v>9734</v>
      </c>
      <c r="AT800" s="17"/>
      <c r="AU800" s="30" t="s">
        <v>9735</v>
      </c>
      <c r="AV800" s="14">
        <v>12690</v>
      </c>
      <c r="AW800" s="74"/>
      <c r="AX800" s="1"/>
      <c r="AY800" s="17" t="s">
        <v>101</v>
      </c>
    </row>
    <row r="801" spans="1:51" ht="12.75" customHeight="1" x14ac:dyDescent="0.25">
      <c r="A801" s="5">
        <v>767</v>
      </c>
      <c r="B801" s="9">
        <v>767</v>
      </c>
      <c r="C801" s="9" t="s">
        <v>9736</v>
      </c>
      <c r="D801" s="57" t="str">
        <f>HYPERLINK("http://prodenv.dep.state.fl.us/DepNexus/public/electronic-documents/OG_767/facility!search","OG_767_Docs")</f>
        <v>OG_767_Docs</v>
      </c>
      <c r="E801" s="57" t="str">
        <f>HYPERLINK("https://ca.dep.state.fl.us/mapdirect/?focus=oilandgas&amp;zoom=query&amp;querytype=oilandgas&amp;queryvalues=OG_767","OG_767_Map")</f>
        <v>OG_767_Map</v>
      </c>
      <c r="F801" s="1" t="s">
        <v>265</v>
      </c>
      <c r="G801" s="1" t="s">
        <v>79</v>
      </c>
      <c r="H801" s="1" t="s">
        <v>9737</v>
      </c>
      <c r="I801" s="1" t="s">
        <v>9738</v>
      </c>
      <c r="J801" s="17" t="s">
        <v>82</v>
      </c>
      <c r="K801" s="17" t="s">
        <v>83</v>
      </c>
      <c r="L801" s="17"/>
      <c r="M801" s="17"/>
      <c r="N801" s="52" t="s">
        <v>5949</v>
      </c>
      <c r="O801" s="17" t="s">
        <v>270</v>
      </c>
      <c r="P801" s="17" t="s">
        <v>86</v>
      </c>
      <c r="Q801" s="81" t="s">
        <v>9739</v>
      </c>
      <c r="R801" s="11">
        <v>26.399878000000001</v>
      </c>
      <c r="S801" s="11">
        <v>-81.398109000000005</v>
      </c>
      <c r="T801" s="11" t="s">
        <v>9740</v>
      </c>
      <c r="U801" s="11" t="s">
        <v>9741</v>
      </c>
      <c r="V801" s="17" t="s">
        <v>9742</v>
      </c>
      <c r="W801" s="17" t="s">
        <v>110</v>
      </c>
      <c r="X801" s="70">
        <v>41</v>
      </c>
      <c r="Y801" s="70">
        <v>25</v>
      </c>
      <c r="Z801" s="13">
        <v>27359</v>
      </c>
      <c r="AA801" s="13">
        <v>27419</v>
      </c>
      <c r="AB801" s="13">
        <v>27452</v>
      </c>
      <c r="AC801" s="13">
        <v>27454</v>
      </c>
      <c r="AD801" s="86">
        <v>11962</v>
      </c>
      <c r="AE801" s="86">
        <v>11962</v>
      </c>
      <c r="AF801" s="70" t="s">
        <v>9743</v>
      </c>
      <c r="AG801" s="17" t="s">
        <v>9147</v>
      </c>
      <c r="AH801" s="17" t="s">
        <v>9744</v>
      </c>
      <c r="AI801" s="70" t="s">
        <v>94</v>
      </c>
      <c r="AJ801" s="17" t="s">
        <v>94</v>
      </c>
      <c r="AK801" s="17" t="s">
        <v>94</v>
      </c>
      <c r="AL801" s="17" t="s">
        <v>9745</v>
      </c>
      <c r="AM801" s="17" t="s">
        <v>94</v>
      </c>
      <c r="AN801" s="17" t="s">
        <v>9746</v>
      </c>
      <c r="AO801" s="17" t="s">
        <v>98</v>
      </c>
      <c r="AP801" s="17" t="s">
        <v>98</v>
      </c>
      <c r="AQ801" s="17" t="s">
        <v>98</v>
      </c>
      <c r="AR801" s="17" t="s">
        <v>94</v>
      </c>
      <c r="AS801" s="17" t="s">
        <v>9747</v>
      </c>
      <c r="AT801" s="17"/>
      <c r="AU801" s="30" t="s">
        <v>9748</v>
      </c>
      <c r="AV801" s="14">
        <v>12643</v>
      </c>
      <c r="AW801" s="74"/>
      <c r="AX801" s="1"/>
      <c r="AY801" s="17" t="s">
        <v>101</v>
      </c>
    </row>
    <row r="802" spans="1:51" ht="12.75" customHeight="1" x14ac:dyDescent="0.25">
      <c r="A802" s="5">
        <v>768</v>
      </c>
      <c r="B802" s="9">
        <v>768</v>
      </c>
      <c r="C802" s="9" t="s">
        <v>9749</v>
      </c>
      <c r="D802" s="57" t="str">
        <f>HYPERLINK("http://prodenv.dep.state.fl.us/DepNexus/public/electronic-documents/OG_768/facility!search","OG_768_Docs")</f>
        <v>OG_768_Docs</v>
      </c>
      <c r="E802" s="57" t="str">
        <f>HYPERLINK("https://ca.dep.state.fl.us/mapdirect/?focus=oilandgas&amp;zoom=query&amp;querytype=oilandgas&amp;queryvalues=OG_768","OG_768_Map")</f>
        <v>OG_768_Map</v>
      </c>
      <c r="F802" s="1" t="s">
        <v>1752</v>
      </c>
      <c r="G802" s="1" t="s">
        <v>79</v>
      </c>
      <c r="H802" s="1" t="s">
        <v>7836</v>
      </c>
      <c r="I802" s="1" t="s">
        <v>9750</v>
      </c>
      <c r="J802" s="17" t="s">
        <v>82</v>
      </c>
      <c r="K802" s="17" t="s">
        <v>83</v>
      </c>
      <c r="L802" s="17"/>
      <c r="M802" s="17" t="s">
        <v>101</v>
      </c>
      <c r="N802" s="52" t="s">
        <v>6529</v>
      </c>
      <c r="O802" s="17" t="s">
        <v>86</v>
      </c>
      <c r="P802" s="17" t="s">
        <v>86</v>
      </c>
      <c r="Q802" s="81" t="s">
        <v>9751</v>
      </c>
      <c r="R802" s="11">
        <v>26.558154999999999</v>
      </c>
      <c r="S802" s="11">
        <v>-81.172449999999998</v>
      </c>
      <c r="T802" s="11" t="s">
        <v>9752</v>
      </c>
      <c r="U802" s="11" t="s">
        <v>9753</v>
      </c>
      <c r="V802" s="17" t="s">
        <v>9754</v>
      </c>
      <c r="W802" s="17" t="s">
        <v>110</v>
      </c>
      <c r="X802" s="70">
        <v>44</v>
      </c>
      <c r="Y802" s="70">
        <v>39</v>
      </c>
      <c r="Z802" s="13">
        <v>27403</v>
      </c>
      <c r="AA802" s="13">
        <v>27457</v>
      </c>
      <c r="AB802" s="13"/>
      <c r="AC802" s="13">
        <v>27548</v>
      </c>
      <c r="AD802" s="86">
        <v>16000</v>
      </c>
      <c r="AE802" s="86">
        <v>16000</v>
      </c>
      <c r="AF802" s="70" t="s">
        <v>5162</v>
      </c>
      <c r="AG802" s="17" t="s">
        <v>9755</v>
      </c>
      <c r="AH802" s="17" t="s">
        <v>9756</v>
      </c>
      <c r="AI802" s="70" t="s">
        <v>94</v>
      </c>
      <c r="AJ802" s="17" t="s">
        <v>94</v>
      </c>
      <c r="AK802" s="17" t="s">
        <v>95</v>
      </c>
      <c r="AL802" s="17" t="s">
        <v>94</v>
      </c>
      <c r="AM802" s="17" t="s">
        <v>94</v>
      </c>
      <c r="AN802" s="17" t="s">
        <v>94</v>
      </c>
      <c r="AO802" s="17" t="s">
        <v>98</v>
      </c>
      <c r="AP802" s="17" t="s">
        <v>98</v>
      </c>
      <c r="AQ802" s="17" t="s">
        <v>98</v>
      </c>
      <c r="AR802" s="17" t="s">
        <v>94</v>
      </c>
      <c r="AS802" s="17" t="s">
        <v>9757</v>
      </c>
      <c r="AT802" s="17">
        <v>215</v>
      </c>
      <c r="AU802" s="30" t="s">
        <v>9758</v>
      </c>
      <c r="AV802" s="14">
        <v>12696</v>
      </c>
      <c r="AW802" s="74"/>
      <c r="AX802" s="1"/>
      <c r="AY802" s="17" t="s">
        <v>101</v>
      </c>
    </row>
    <row r="803" spans="1:51" ht="12.75" customHeight="1" x14ac:dyDescent="0.25">
      <c r="A803" s="5">
        <v>769</v>
      </c>
      <c r="B803" s="9">
        <v>769</v>
      </c>
      <c r="C803" s="9" t="s">
        <v>9759</v>
      </c>
      <c r="D803" s="57" t="str">
        <f>HYPERLINK("http://prodenv.dep.state.fl.us/DepNexus/public/electronic-documents/OG_769/facility!search","OG_769_Docs")</f>
        <v>OG_769_Docs</v>
      </c>
      <c r="E803" s="57" t="str">
        <f>HYPERLINK("https://ca.dep.state.fl.us/mapdirect/?focus=oilandgas&amp;zoom=query&amp;querytype=oilandgas&amp;queryvalues=OG_769","OG_769_Map")</f>
        <v>OG_769_Map</v>
      </c>
      <c r="F803" s="1" t="s">
        <v>162</v>
      </c>
      <c r="G803" s="1" t="s">
        <v>79</v>
      </c>
      <c r="H803" s="1" t="s">
        <v>8910</v>
      </c>
      <c r="I803" s="1" t="s">
        <v>9760</v>
      </c>
      <c r="J803" s="17" t="s">
        <v>82</v>
      </c>
      <c r="K803" s="17" t="s">
        <v>82</v>
      </c>
      <c r="L803" s="17"/>
      <c r="M803" s="17" t="s">
        <v>101</v>
      </c>
      <c r="N803" s="52" t="s">
        <v>8758</v>
      </c>
      <c r="O803" s="17" t="s">
        <v>9761</v>
      </c>
      <c r="P803" s="17" t="s">
        <v>86</v>
      </c>
      <c r="Q803" s="81" t="s">
        <v>9762</v>
      </c>
      <c r="R803" s="11">
        <v>30.141501999999999</v>
      </c>
      <c r="S803" s="11">
        <v>-84.931009000000003</v>
      </c>
      <c r="T803" s="11" t="s">
        <v>9763</v>
      </c>
      <c r="U803" s="11" t="s">
        <v>9764</v>
      </c>
      <c r="V803" s="17" t="s">
        <v>9765</v>
      </c>
      <c r="W803" s="17" t="s">
        <v>110</v>
      </c>
      <c r="X803" s="70">
        <v>75</v>
      </c>
      <c r="Y803" s="70">
        <v>60</v>
      </c>
      <c r="Z803" s="13">
        <v>27403</v>
      </c>
      <c r="AA803" s="13">
        <v>27501</v>
      </c>
      <c r="AB803" s="13">
        <v>27544</v>
      </c>
      <c r="AC803" s="13">
        <v>27547</v>
      </c>
      <c r="AD803" s="86">
        <v>12654</v>
      </c>
      <c r="AE803" s="86">
        <v>12654</v>
      </c>
      <c r="AF803" s="70" t="s">
        <v>9766</v>
      </c>
      <c r="AG803" s="17" t="s">
        <v>9767</v>
      </c>
      <c r="AH803" s="17" t="s">
        <v>9768</v>
      </c>
      <c r="AI803" s="70" t="s">
        <v>94</v>
      </c>
      <c r="AJ803" s="17" t="s">
        <v>94</v>
      </c>
      <c r="AK803" s="17" t="s">
        <v>95</v>
      </c>
      <c r="AL803" s="17" t="s">
        <v>94</v>
      </c>
      <c r="AM803" s="17" t="s">
        <v>94</v>
      </c>
      <c r="AN803" s="17" t="s">
        <v>94</v>
      </c>
      <c r="AO803" s="17" t="s">
        <v>98</v>
      </c>
      <c r="AP803" s="17" t="s">
        <v>98</v>
      </c>
      <c r="AQ803" s="17" t="s">
        <v>98</v>
      </c>
      <c r="AR803" s="17" t="s">
        <v>94</v>
      </c>
      <c r="AS803" s="17" t="s">
        <v>9769</v>
      </c>
      <c r="AT803" s="17">
        <v>218</v>
      </c>
      <c r="AU803" s="30" t="s">
        <v>9770</v>
      </c>
      <c r="AV803" s="14">
        <v>12739</v>
      </c>
      <c r="AW803" s="74"/>
      <c r="AX803" s="1"/>
      <c r="AY803" s="17" t="s">
        <v>101</v>
      </c>
    </row>
    <row r="804" spans="1:51" ht="12.75" customHeight="1" x14ac:dyDescent="0.25">
      <c r="A804" s="5">
        <v>770</v>
      </c>
      <c r="B804" s="9">
        <v>770</v>
      </c>
      <c r="C804" s="9" t="s">
        <v>9771</v>
      </c>
      <c r="D804" s="57" t="str">
        <f>HYPERLINK("http://prodenv.dep.state.fl.us/DepNexus/public/electronic-documents/OG_770/facility!search","OG_770_Docs")</f>
        <v>OG_770_Docs</v>
      </c>
      <c r="E804" s="57" t="str">
        <f>HYPERLINK("https://ca.dep.state.fl.us/mapdirect/?focus=oilandgas&amp;zoom=query&amp;querytype=oilandgas&amp;queryvalues=OG_770","OG_770_Map")</f>
        <v>OG_770_Map</v>
      </c>
      <c r="F804" s="1" t="s">
        <v>2026</v>
      </c>
      <c r="G804" s="1" t="s">
        <v>9085</v>
      </c>
      <c r="H804" s="1" t="s">
        <v>8261</v>
      </c>
      <c r="I804" s="1" t="s">
        <v>9772</v>
      </c>
      <c r="J804" s="17" t="s">
        <v>82</v>
      </c>
      <c r="K804" s="17" t="s">
        <v>83</v>
      </c>
      <c r="L804" s="17"/>
      <c r="M804" s="17"/>
      <c r="N804" s="52" t="s">
        <v>86</v>
      </c>
      <c r="O804" s="17" t="s">
        <v>86</v>
      </c>
      <c r="P804" s="17" t="s">
        <v>86</v>
      </c>
      <c r="Q804" s="81" t="s">
        <v>9773</v>
      </c>
      <c r="R804" s="11">
        <v>26.641859</v>
      </c>
      <c r="S804" s="11">
        <v>-81.694252000000006</v>
      </c>
      <c r="T804" s="11" t="s">
        <v>9774</v>
      </c>
      <c r="U804" s="11" t="s">
        <v>9775</v>
      </c>
      <c r="V804" s="17" t="s">
        <v>9776</v>
      </c>
      <c r="W804" s="17" t="s">
        <v>9777</v>
      </c>
      <c r="X804" s="70">
        <v>34.9</v>
      </c>
      <c r="Y804" s="70">
        <v>19</v>
      </c>
      <c r="Z804" s="13">
        <v>27415</v>
      </c>
      <c r="AA804" s="13">
        <v>27477</v>
      </c>
      <c r="AB804" s="13">
        <v>32244</v>
      </c>
      <c r="AC804" s="13">
        <v>32290</v>
      </c>
      <c r="AD804" s="86">
        <v>11463</v>
      </c>
      <c r="AE804" s="86">
        <v>11889</v>
      </c>
      <c r="AF804" s="70" t="s">
        <v>5267</v>
      </c>
      <c r="AG804" s="17" t="s">
        <v>7652</v>
      </c>
      <c r="AH804" s="17" t="s">
        <v>9778</v>
      </c>
      <c r="AI804" s="70" t="s">
        <v>94</v>
      </c>
      <c r="AJ804" s="17" t="s">
        <v>94</v>
      </c>
      <c r="AK804" s="17" t="s">
        <v>825</v>
      </c>
      <c r="AL804" s="17" t="s">
        <v>9779</v>
      </c>
      <c r="AM804" s="17" t="s">
        <v>94</v>
      </c>
      <c r="AN804" s="17" t="s">
        <v>94</v>
      </c>
      <c r="AO804" s="17" t="s">
        <v>98</v>
      </c>
      <c r="AP804" s="17" t="s">
        <v>98</v>
      </c>
      <c r="AQ804" s="17" t="s">
        <v>98</v>
      </c>
      <c r="AR804" s="17" t="s">
        <v>94</v>
      </c>
      <c r="AS804" s="17" t="s">
        <v>9780</v>
      </c>
      <c r="AT804" s="17">
        <v>193</v>
      </c>
      <c r="AU804" s="30" t="s">
        <v>9781</v>
      </c>
      <c r="AV804" s="14">
        <v>12841</v>
      </c>
      <c r="AW804" s="74"/>
      <c r="AX804" s="1" t="s">
        <v>9782</v>
      </c>
      <c r="AY804" s="17" t="s">
        <v>101</v>
      </c>
    </row>
    <row r="805" spans="1:51" ht="12.75" customHeight="1" x14ac:dyDescent="0.25">
      <c r="A805" s="5">
        <v>771</v>
      </c>
      <c r="B805" s="9">
        <v>771</v>
      </c>
      <c r="C805" s="9" t="s">
        <v>9783</v>
      </c>
      <c r="D805" s="57" t="str">
        <f>HYPERLINK("http://prodenv.dep.state.fl.us/DepNexus/public/electronic-documents/OG_771/facility!search","OG_771_Docs")</f>
        <v>OG_771_Docs</v>
      </c>
      <c r="E805" s="57" t="str">
        <f>HYPERLINK("https://ca.dep.state.fl.us/mapdirect/?focus=oilandgas&amp;zoom=query&amp;querytype=oilandgas&amp;queryvalues=OG_771","OG_771_Map")</f>
        <v>OG_771_Map</v>
      </c>
      <c r="F805" s="1" t="s">
        <v>1797</v>
      </c>
      <c r="G805" s="1" t="s">
        <v>6648</v>
      </c>
      <c r="H805" s="1" t="s">
        <v>9784</v>
      </c>
      <c r="I805" s="1" t="s">
        <v>9785</v>
      </c>
      <c r="J805" s="17" t="s">
        <v>82</v>
      </c>
      <c r="K805" s="17" t="s">
        <v>83</v>
      </c>
      <c r="L805" s="17"/>
      <c r="M805" s="17"/>
      <c r="N805" s="52" t="s">
        <v>6529</v>
      </c>
      <c r="O805" s="17" t="s">
        <v>86</v>
      </c>
      <c r="P805" s="17" t="s">
        <v>86</v>
      </c>
      <c r="Q805" s="81" t="s">
        <v>9786</v>
      </c>
      <c r="R805" s="11">
        <v>30.825357</v>
      </c>
      <c r="S805" s="11">
        <v>-87.078153</v>
      </c>
      <c r="T805" s="11" t="s">
        <v>9787</v>
      </c>
      <c r="U805" s="11" t="s">
        <v>9788</v>
      </c>
      <c r="V805" s="17" t="s">
        <v>9789</v>
      </c>
      <c r="W805" s="17" t="s">
        <v>110</v>
      </c>
      <c r="X805" s="70">
        <v>188.32</v>
      </c>
      <c r="Y805" s="70">
        <v>160</v>
      </c>
      <c r="Z805" s="13">
        <v>27429</v>
      </c>
      <c r="AA805" s="13">
        <v>27469</v>
      </c>
      <c r="AB805" s="13">
        <v>27526</v>
      </c>
      <c r="AC805" s="13">
        <v>27550</v>
      </c>
      <c r="AD805" s="86">
        <v>16400</v>
      </c>
      <c r="AE805" s="86">
        <v>16400</v>
      </c>
      <c r="AF805" s="70" t="s">
        <v>6520</v>
      </c>
      <c r="AG805" s="17" t="s">
        <v>9790</v>
      </c>
      <c r="AH805" s="17" t="s">
        <v>94</v>
      </c>
      <c r="AI805" s="70" t="s">
        <v>94</v>
      </c>
      <c r="AJ805" s="17" t="s">
        <v>94</v>
      </c>
      <c r="AK805" s="17" t="s">
        <v>95</v>
      </c>
      <c r="AL805" s="17" t="s">
        <v>94</v>
      </c>
      <c r="AM805" s="17" t="s">
        <v>94</v>
      </c>
      <c r="AN805" s="17" t="s">
        <v>94</v>
      </c>
      <c r="AO805" s="17" t="s">
        <v>98</v>
      </c>
      <c r="AP805" s="17" t="s">
        <v>98</v>
      </c>
      <c r="AQ805" s="17" t="s">
        <v>98</v>
      </c>
      <c r="AR805" s="17" t="s">
        <v>94</v>
      </c>
      <c r="AS805" s="17" t="s">
        <v>9791</v>
      </c>
      <c r="AT805" s="17"/>
      <c r="AU805" s="30" t="s">
        <v>9792</v>
      </c>
      <c r="AV805" s="14">
        <v>12682</v>
      </c>
      <c r="AW805" s="74"/>
      <c r="AX805" s="1"/>
      <c r="AY805" s="17" t="s">
        <v>101</v>
      </c>
    </row>
    <row r="806" spans="1:51" ht="12.75" customHeight="1" x14ac:dyDescent="0.25">
      <c r="A806" s="5">
        <v>772</v>
      </c>
      <c r="B806" s="9">
        <v>772</v>
      </c>
      <c r="C806" s="9" t="s">
        <v>9793</v>
      </c>
      <c r="D806" s="57" t="str">
        <f>HYPERLINK("http://prodenv.dep.state.fl.us/DepNexus/public/electronic-documents/OG_772/facility!search","OG_772_Docs")</f>
        <v>OG_772_Docs</v>
      </c>
      <c r="E806" s="57" t="str">
        <f>HYPERLINK("https://ca.dep.state.fl.us/mapdirect/?focus=oilandgas&amp;zoom=query&amp;querytype=oilandgas&amp;queryvalues=OG_772","OG_772_Map")</f>
        <v>OG_772_Map</v>
      </c>
      <c r="F806" s="1" t="s">
        <v>3006</v>
      </c>
      <c r="G806" s="1" t="s">
        <v>79</v>
      </c>
      <c r="H806" s="1" t="s">
        <v>8093</v>
      </c>
      <c r="I806" s="1" t="s">
        <v>9794</v>
      </c>
      <c r="J806" s="17" t="s">
        <v>82</v>
      </c>
      <c r="K806" s="17" t="s">
        <v>83</v>
      </c>
      <c r="L806" s="17"/>
      <c r="M806" s="17" t="s">
        <v>101</v>
      </c>
      <c r="N806" s="52" t="s">
        <v>9659</v>
      </c>
      <c r="O806" s="17" t="s">
        <v>86</v>
      </c>
      <c r="P806" s="17" t="s">
        <v>86</v>
      </c>
      <c r="Q806" s="81" t="s">
        <v>9795</v>
      </c>
      <c r="R806" s="11">
        <v>27.319393999999999</v>
      </c>
      <c r="S806" s="11">
        <v>-80.403442999999996</v>
      </c>
      <c r="T806" s="11" t="s">
        <v>9796</v>
      </c>
      <c r="U806" s="11" t="s">
        <v>9797</v>
      </c>
      <c r="V806" s="17" t="s">
        <v>9798</v>
      </c>
      <c r="W806" s="17" t="s">
        <v>110</v>
      </c>
      <c r="X806" s="70">
        <v>26</v>
      </c>
      <c r="Y806" s="70">
        <v>28</v>
      </c>
      <c r="Z806" s="13">
        <v>27442</v>
      </c>
      <c r="AA806" s="13">
        <v>27485</v>
      </c>
      <c r="AB806" s="13">
        <v>27560</v>
      </c>
      <c r="AC806" s="13">
        <v>27560</v>
      </c>
      <c r="AD806" s="86">
        <v>12652</v>
      </c>
      <c r="AE806" s="86">
        <v>12652</v>
      </c>
      <c r="AF806" s="70" t="s">
        <v>9214</v>
      </c>
      <c r="AG806" s="17" t="s">
        <v>9799</v>
      </c>
      <c r="AH806" s="17" t="s">
        <v>9800</v>
      </c>
      <c r="AI806" s="70" t="s">
        <v>94</v>
      </c>
      <c r="AJ806" s="17" t="s">
        <v>94</v>
      </c>
      <c r="AK806" s="17" t="s">
        <v>95</v>
      </c>
      <c r="AL806" s="17" t="s">
        <v>94</v>
      </c>
      <c r="AM806" s="17" t="s">
        <v>94</v>
      </c>
      <c r="AN806" s="17" t="s">
        <v>94</v>
      </c>
      <c r="AO806" s="17" t="s">
        <v>98</v>
      </c>
      <c r="AP806" s="17" t="s">
        <v>98</v>
      </c>
      <c r="AQ806" s="17" t="s">
        <v>98</v>
      </c>
      <c r="AR806" s="17" t="s">
        <v>94</v>
      </c>
      <c r="AS806" s="17" t="s">
        <v>9801</v>
      </c>
      <c r="AT806" s="17">
        <v>180</v>
      </c>
      <c r="AU806" s="30" t="s">
        <v>9802</v>
      </c>
      <c r="AV806" s="14">
        <v>13082</v>
      </c>
      <c r="AW806" s="74"/>
      <c r="AX806" s="1"/>
      <c r="AY806" s="17" t="s">
        <v>101</v>
      </c>
    </row>
    <row r="807" spans="1:51" ht="12.75" customHeight="1" x14ac:dyDescent="0.25">
      <c r="A807" s="5">
        <v>773</v>
      </c>
      <c r="B807" s="9">
        <v>773</v>
      </c>
      <c r="C807" s="9" t="s">
        <v>9803</v>
      </c>
      <c r="D807" s="57" t="str">
        <f>HYPERLINK("http://prodenv.dep.state.fl.us/DepNexus/public/electronic-documents/OG_773/facility!search","OG_773_Docs")</f>
        <v>OG_773_Docs</v>
      </c>
      <c r="E807" s="57" t="str">
        <f>HYPERLINK("https://ca.dep.state.fl.us/mapdirect/?focus=oilandgas&amp;zoom=query&amp;querytype=oilandgas&amp;queryvalues=OG_773","OG_773_Map")</f>
        <v>OG_773_Map</v>
      </c>
      <c r="F807" s="1" t="s">
        <v>1797</v>
      </c>
      <c r="G807" s="1" t="s">
        <v>79</v>
      </c>
      <c r="H807" s="1" t="s">
        <v>9804</v>
      </c>
      <c r="I807" s="1" t="s">
        <v>9805</v>
      </c>
      <c r="J807" s="17" t="s">
        <v>82</v>
      </c>
      <c r="K807" s="17" t="s">
        <v>83</v>
      </c>
      <c r="L807" s="17"/>
      <c r="M807" s="17" t="s">
        <v>84</v>
      </c>
      <c r="N807" s="52" t="s">
        <v>7043</v>
      </c>
      <c r="O807" s="17" t="s">
        <v>86</v>
      </c>
      <c r="P807" s="17" t="s">
        <v>86</v>
      </c>
      <c r="Q807" s="81" t="s">
        <v>9806</v>
      </c>
      <c r="R807" s="11">
        <v>30.653998999999999</v>
      </c>
      <c r="S807" s="11">
        <v>-86.916633000000004</v>
      </c>
      <c r="T807" s="11" t="s">
        <v>9807</v>
      </c>
      <c r="U807" s="11" t="s">
        <v>9808</v>
      </c>
      <c r="V807" s="17" t="s">
        <v>9809</v>
      </c>
      <c r="W807" s="17" t="s">
        <v>110</v>
      </c>
      <c r="X807" s="70">
        <v>166.45</v>
      </c>
      <c r="Y807" s="70">
        <v>145</v>
      </c>
      <c r="Z807" s="13">
        <v>27442</v>
      </c>
      <c r="AA807" s="13">
        <v>27468</v>
      </c>
      <c r="AB807" s="13"/>
      <c r="AC807" s="13">
        <v>27529</v>
      </c>
      <c r="AD807" s="86">
        <v>16750</v>
      </c>
      <c r="AE807" s="86">
        <v>16750</v>
      </c>
      <c r="AF807" s="70" t="s">
        <v>5811</v>
      </c>
      <c r="AG807" s="17" t="s">
        <v>9810</v>
      </c>
      <c r="AH807" s="17" t="s">
        <v>94</v>
      </c>
      <c r="AI807" s="70" t="s">
        <v>94</v>
      </c>
      <c r="AJ807" s="17" t="s">
        <v>94</v>
      </c>
      <c r="AK807" s="17" t="s">
        <v>94</v>
      </c>
      <c r="AL807" s="17"/>
      <c r="AM807" s="17" t="s">
        <v>95</v>
      </c>
      <c r="AN807" s="17" t="s">
        <v>94</v>
      </c>
      <c r="AO807" s="17" t="s">
        <v>98</v>
      </c>
      <c r="AP807" s="17" t="s">
        <v>98</v>
      </c>
      <c r="AQ807" s="17" t="s">
        <v>98</v>
      </c>
      <c r="AR807" s="17" t="s">
        <v>94</v>
      </c>
      <c r="AS807" s="17" t="s">
        <v>9811</v>
      </c>
      <c r="AT807" s="17">
        <v>278</v>
      </c>
      <c r="AU807" s="30" t="s">
        <v>9812</v>
      </c>
      <c r="AV807" s="14">
        <v>12724</v>
      </c>
      <c r="AW807" s="74"/>
      <c r="AX807" s="1"/>
      <c r="AY807" s="17" t="s">
        <v>101</v>
      </c>
    </row>
    <row r="808" spans="1:51" ht="12.75" customHeight="1" x14ac:dyDescent="0.25">
      <c r="A808" s="5">
        <v>774</v>
      </c>
      <c r="B808" s="9">
        <v>774</v>
      </c>
      <c r="C808" s="9" t="s">
        <v>9813</v>
      </c>
      <c r="D808" s="57" t="str">
        <f>HYPERLINK("http://prodenv.dep.state.fl.us/DepNexus/public/electronic-documents/OG_774/facility!search","OG_774_Docs")</f>
        <v>OG_774_Docs</v>
      </c>
      <c r="E808" s="57" t="str">
        <f>HYPERLINK("https://ca.dep.state.fl.us/mapdirect/?focus=oilandgas&amp;zoom=query&amp;querytype=oilandgas&amp;queryvalues=OG_774","OG_774_Map")</f>
        <v>OG_774_Map</v>
      </c>
      <c r="F808" s="1" t="s">
        <v>1151</v>
      </c>
      <c r="G808" s="1" t="s">
        <v>79</v>
      </c>
      <c r="H808" s="1" t="s">
        <v>9237</v>
      </c>
      <c r="I808" s="1" t="s">
        <v>9814</v>
      </c>
      <c r="J808" s="17" t="s">
        <v>82</v>
      </c>
      <c r="K808" s="17" t="s">
        <v>83</v>
      </c>
      <c r="L808" s="17"/>
      <c r="M808" s="17" t="s">
        <v>84</v>
      </c>
      <c r="N808" s="52" t="s">
        <v>9815</v>
      </c>
      <c r="O808" s="17" t="s">
        <v>86</v>
      </c>
      <c r="P808" s="17" t="s">
        <v>86</v>
      </c>
      <c r="Q808" s="81" t="s">
        <v>9816</v>
      </c>
      <c r="R808" s="11">
        <v>30.093671000000001</v>
      </c>
      <c r="S808" s="11">
        <v>-83.811182000000002</v>
      </c>
      <c r="T808" s="11" t="s">
        <v>9817</v>
      </c>
      <c r="U808" s="11" t="s">
        <v>9818</v>
      </c>
      <c r="V808" s="17" t="s">
        <v>9819</v>
      </c>
      <c r="W808" s="17" t="s">
        <v>110</v>
      </c>
      <c r="X808" s="70">
        <v>28</v>
      </c>
      <c r="Y808" s="70">
        <v>16</v>
      </c>
      <c r="Z808" s="13">
        <v>27471</v>
      </c>
      <c r="AA808" s="13">
        <v>27478</v>
      </c>
      <c r="AB808" s="13">
        <v>27531</v>
      </c>
      <c r="AC808" s="13">
        <v>27531</v>
      </c>
      <c r="AD808" s="86">
        <v>7478</v>
      </c>
      <c r="AE808" s="86">
        <v>7478</v>
      </c>
      <c r="AF808" s="70" t="s">
        <v>9820</v>
      </c>
      <c r="AG808" s="17" t="s">
        <v>9821</v>
      </c>
      <c r="AH808" s="17" t="s">
        <v>9822</v>
      </c>
      <c r="AI808" s="70" t="s">
        <v>94</v>
      </c>
      <c r="AJ808" s="17" t="s">
        <v>94</v>
      </c>
      <c r="AK808" s="17" t="s">
        <v>95</v>
      </c>
      <c r="AL808" s="17" t="s">
        <v>94</v>
      </c>
      <c r="AM808" s="17" t="s">
        <v>94</v>
      </c>
      <c r="AN808" s="17" t="s">
        <v>94</v>
      </c>
      <c r="AO808" s="17" t="s">
        <v>98</v>
      </c>
      <c r="AP808" s="17" t="s">
        <v>98</v>
      </c>
      <c r="AQ808" s="17" t="s">
        <v>98</v>
      </c>
      <c r="AR808" s="17" t="s">
        <v>94</v>
      </c>
      <c r="AS808" s="17" t="s">
        <v>9823</v>
      </c>
      <c r="AT808" s="17">
        <v>150</v>
      </c>
      <c r="AU808" s="30" t="s">
        <v>9824</v>
      </c>
      <c r="AV808" s="14">
        <v>12697</v>
      </c>
      <c r="AW808" s="74"/>
      <c r="AX808" s="1"/>
      <c r="AY808" s="17" t="s">
        <v>101</v>
      </c>
    </row>
    <row r="809" spans="1:51" ht="12.75" customHeight="1" x14ac:dyDescent="0.25">
      <c r="A809" s="5">
        <v>775</v>
      </c>
      <c r="B809" s="9">
        <v>775</v>
      </c>
      <c r="C809" s="9" t="s">
        <v>9825</v>
      </c>
      <c r="D809" s="57" t="str">
        <f>HYPERLINK("http://prodenv.dep.state.fl.us/DepNexus/public/electronic-documents/OG_775/facility!search","OG_775_Docs")</f>
        <v>OG_775_Docs</v>
      </c>
      <c r="E809" s="57" t="str">
        <f>HYPERLINK("https://ca.dep.state.fl.us/mapdirect/?focus=oilandgas&amp;zoom=query&amp;querytype=oilandgas&amp;queryvalues=OG_775","OG_775_Map")</f>
        <v>OG_775_Map</v>
      </c>
      <c r="F809" s="1" t="s">
        <v>265</v>
      </c>
      <c r="G809" s="1" t="s">
        <v>79</v>
      </c>
      <c r="H809" s="1" t="s">
        <v>6141</v>
      </c>
      <c r="I809" s="1" t="s">
        <v>9826</v>
      </c>
      <c r="J809" s="17" t="s">
        <v>82</v>
      </c>
      <c r="K809" s="17" t="s">
        <v>83</v>
      </c>
      <c r="L809" s="17" t="s">
        <v>101</v>
      </c>
      <c r="M809" s="17"/>
      <c r="N809" s="52" t="s">
        <v>5949</v>
      </c>
      <c r="O809" s="17" t="s">
        <v>270</v>
      </c>
      <c r="P809" s="17" t="s">
        <v>86</v>
      </c>
      <c r="Q809" s="81" t="s">
        <v>9827</v>
      </c>
      <c r="R809" s="11">
        <v>26.171522</v>
      </c>
      <c r="S809" s="11">
        <v>-81.478551999999993</v>
      </c>
      <c r="T809" s="11" t="s">
        <v>9828</v>
      </c>
      <c r="U809" s="11" t="s">
        <v>9829</v>
      </c>
      <c r="V809" s="17" t="s">
        <v>9830</v>
      </c>
      <c r="W809" s="17" t="s">
        <v>110</v>
      </c>
      <c r="X809" s="70">
        <v>28.5</v>
      </c>
      <c r="Y809" s="70">
        <v>13</v>
      </c>
      <c r="Z809" s="13">
        <v>27471</v>
      </c>
      <c r="AA809" s="13">
        <v>27498</v>
      </c>
      <c r="AB809" s="13">
        <v>27540</v>
      </c>
      <c r="AC809" s="13">
        <v>27544</v>
      </c>
      <c r="AD809" s="86">
        <v>13349</v>
      </c>
      <c r="AE809" s="86">
        <v>13349</v>
      </c>
      <c r="AF809" s="70" t="s">
        <v>9831</v>
      </c>
      <c r="AG809" s="17" t="s">
        <v>4627</v>
      </c>
      <c r="AH809" s="17" t="s">
        <v>9832</v>
      </c>
      <c r="AI809" s="70" t="s">
        <v>94</v>
      </c>
      <c r="AJ809" s="17" t="s">
        <v>94</v>
      </c>
      <c r="AK809" s="17" t="s">
        <v>95</v>
      </c>
      <c r="AL809" s="17" t="s">
        <v>94</v>
      </c>
      <c r="AM809" s="17" t="s">
        <v>94</v>
      </c>
      <c r="AN809" s="17" t="s">
        <v>94</v>
      </c>
      <c r="AO809" s="17" t="s">
        <v>98</v>
      </c>
      <c r="AP809" s="17" t="s">
        <v>98</v>
      </c>
      <c r="AQ809" s="17" t="s">
        <v>98</v>
      </c>
      <c r="AR809" s="17" t="s">
        <v>94</v>
      </c>
      <c r="AS809" s="17" t="s">
        <v>9833</v>
      </c>
      <c r="AT809" s="17"/>
      <c r="AU809" s="30" t="s">
        <v>9834</v>
      </c>
      <c r="AV809" s="14">
        <v>12995</v>
      </c>
      <c r="AW809" s="74"/>
      <c r="AX809" s="1"/>
      <c r="AY809" s="17" t="s">
        <v>101</v>
      </c>
    </row>
    <row r="810" spans="1:51" ht="12.75" customHeight="1" x14ac:dyDescent="0.25">
      <c r="A810" s="5">
        <v>776</v>
      </c>
      <c r="B810" s="9">
        <v>776</v>
      </c>
      <c r="C810" s="9" t="s">
        <v>9835</v>
      </c>
      <c r="D810" s="57" t="str">
        <f>HYPERLINK("http://prodenv.dep.state.fl.us/DepNexus/public/electronic-documents/OG_776/facility!search","OG_776_Docs")</f>
        <v>OG_776_Docs</v>
      </c>
      <c r="E810" s="57" t="str">
        <f>HYPERLINK("https://ca.dep.state.fl.us/mapdirect/?focus=oilandgas&amp;zoom=query&amp;querytype=oilandgas&amp;queryvalues=OG_776","OG_776_Map")</f>
        <v>OG_776_Map</v>
      </c>
      <c r="F810" s="1" t="s">
        <v>1151</v>
      </c>
      <c r="G810" s="1" t="s">
        <v>79</v>
      </c>
      <c r="H810" s="1" t="s">
        <v>9237</v>
      </c>
      <c r="I810" s="1" t="s">
        <v>3573</v>
      </c>
      <c r="J810" s="17" t="s">
        <v>82</v>
      </c>
      <c r="K810" s="17" t="s">
        <v>83</v>
      </c>
      <c r="L810" s="17"/>
      <c r="M810" s="17" t="s">
        <v>84</v>
      </c>
      <c r="N810" s="52" t="s">
        <v>9222</v>
      </c>
      <c r="O810" s="17" t="s">
        <v>86</v>
      </c>
      <c r="P810" s="17" t="s">
        <v>86</v>
      </c>
      <c r="Q810" s="81" t="s">
        <v>9836</v>
      </c>
      <c r="R810" s="11">
        <v>30.027823999999999</v>
      </c>
      <c r="S810" s="11">
        <v>-83.809282999999994</v>
      </c>
      <c r="T810" s="11" t="s">
        <v>9837</v>
      </c>
      <c r="U810" s="11" t="s">
        <v>9838</v>
      </c>
      <c r="V810" s="17" t="s">
        <v>9839</v>
      </c>
      <c r="W810" s="17" t="s">
        <v>110</v>
      </c>
      <c r="X810" s="70">
        <v>16</v>
      </c>
      <c r="Y810" s="70">
        <v>5</v>
      </c>
      <c r="Z810" s="13">
        <v>27485</v>
      </c>
      <c r="AA810" s="13">
        <v>27534</v>
      </c>
      <c r="AB810" s="13">
        <v>27575</v>
      </c>
      <c r="AC810" s="13">
        <v>27575</v>
      </c>
      <c r="AD810" s="86">
        <v>7503</v>
      </c>
      <c r="AE810" s="86">
        <v>7503</v>
      </c>
      <c r="AF810" s="70" t="s">
        <v>9840</v>
      </c>
      <c r="AG810" s="17" t="s">
        <v>9822</v>
      </c>
      <c r="AH810" s="17" t="s">
        <v>94</v>
      </c>
      <c r="AI810" s="70" t="s">
        <v>94</v>
      </c>
      <c r="AJ810" s="17" t="s">
        <v>94</v>
      </c>
      <c r="AK810" s="17" t="s">
        <v>95</v>
      </c>
      <c r="AL810" s="17" t="s">
        <v>94</v>
      </c>
      <c r="AM810" s="17" t="s">
        <v>94</v>
      </c>
      <c r="AN810" s="17" t="s">
        <v>94</v>
      </c>
      <c r="AO810" s="17" t="s">
        <v>98</v>
      </c>
      <c r="AP810" s="17" t="s">
        <v>98</v>
      </c>
      <c r="AQ810" s="17" t="s">
        <v>98</v>
      </c>
      <c r="AR810" s="17" t="s">
        <v>94</v>
      </c>
      <c r="AS810" s="17" t="s">
        <v>9841</v>
      </c>
      <c r="AT810" s="17">
        <v>190</v>
      </c>
      <c r="AU810" s="30" t="s">
        <v>9842</v>
      </c>
      <c r="AV810" s="14">
        <v>12781</v>
      </c>
      <c r="AW810" s="74"/>
      <c r="AX810" s="1"/>
      <c r="AY810" s="17" t="s">
        <v>101</v>
      </c>
    </row>
    <row r="811" spans="1:51" ht="12.75" customHeight="1" x14ac:dyDescent="0.25">
      <c r="A811" s="5">
        <v>777</v>
      </c>
      <c r="B811" s="9">
        <v>777</v>
      </c>
      <c r="C811" s="9" t="s">
        <v>9843</v>
      </c>
      <c r="D811" s="57" t="str">
        <f>HYPERLINK("http://prodenv.dep.state.fl.us/DepNexus/public/electronic-documents/OG_777/facility!search","OG_777_Docs")</f>
        <v>OG_777_Docs</v>
      </c>
      <c r="E811" s="57" t="str">
        <f>HYPERLINK("https://ca.dep.state.fl.us/mapdirect/?focus=oilandgas&amp;zoom=query&amp;querytype=oilandgas&amp;queryvalues=OG_777","OG_777_Map")</f>
        <v>OG_777_Map</v>
      </c>
      <c r="F811" s="1" t="s">
        <v>103</v>
      </c>
      <c r="G811" s="1" t="s">
        <v>79</v>
      </c>
      <c r="H811" s="1" t="s">
        <v>9844</v>
      </c>
      <c r="I811" s="1" t="s">
        <v>9845</v>
      </c>
      <c r="J811" s="17" t="s">
        <v>82</v>
      </c>
      <c r="K811" s="17" t="s">
        <v>83</v>
      </c>
      <c r="L811" s="17"/>
      <c r="M811" s="17" t="s">
        <v>101</v>
      </c>
      <c r="N811" s="52" t="s">
        <v>6529</v>
      </c>
      <c r="O811" s="17" t="s">
        <v>86</v>
      </c>
      <c r="P811" s="17" t="s">
        <v>86</v>
      </c>
      <c r="Q811" s="81" t="s">
        <v>9846</v>
      </c>
      <c r="R811" s="11">
        <v>30.358623999999999</v>
      </c>
      <c r="S811" s="11">
        <v>-85.283187999999996</v>
      </c>
      <c r="T811" s="11" t="s">
        <v>9847</v>
      </c>
      <c r="U811" s="11" t="s">
        <v>9848</v>
      </c>
      <c r="V811" s="17" t="s">
        <v>9849</v>
      </c>
      <c r="W811" s="17" t="s">
        <v>110</v>
      </c>
      <c r="X811" s="70">
        <v>110.8</v>
      </c>
      <c r="Y811" s="70">
        <v>95.1</v>
      </c>
      <c r="Z811" s="13">
        <v>27485</v>
      </c>
      <c r="AA811" s="13">
        <v>27554</v>
      </c>
      <c r="AB811" s="13"/>
      <c r="AC811" s="13">
        <v>27626</v>
      </c>
      <c r="AD811" s="86">
        <v>12140</v>
      </c>
      <c r="AE811" s="86">
        <v>12140</v>
      </c>
      <c r="AF811" s="70" t="s">
        <v>9850</v>
      </c>
      <c r="AG811" s="17" t="s">
        <v>9851</v>
      </c>
      <c r="AH811" s="17" t="s">
        <v>94</v>
      </c>
      <c r="AI811" s="70" t="s">
        <v>94</v>
      </c>
      <c r="AJ811" s="17" t="s">
        <v>94</v>
      </c>
      <c r="AK811" s="17" t="s">
        <v>95</v>
      </c>
      <c r="AL811" s="17" t="s">
        <v>94</v>
      </c>
      <c r="AM811" s="17" t="s">
        <v>94</v>
      </c>
      <c r="AN811" s="17" t="s">
        <v>94</v>
      </c>
      <c r="AO811" s="17" t="s">
        <v>98</v>
      </c>
      <c r="AP811" s="17" t="s">
        <v>98</v>
      </c>
      <c r="AQ811" s="17" t="s">
        <v>98</v>
      </c>
      <c r="AR811" s="17" t="s">
        <v>94</v>
      </c>
      <c r="AS811" s="17" t="s">
        <v>9852</v>
      </c>
      <c r="AT811" s="17"/>
      <c r="AU811" s="30" t="s">
        <v>9853</v>
      </c>
      <c r="AV811" s="14">
        <v>12812</v>
      </c>
      <c r="AW811" s="74"/>
      <c r="AX811" s="1"/>
      <c r="AY811" s="17" t="s">
        <v>101</v>
      </c>
    </row>
    <row r="812" spans="1:51" ht="12.75" customHeight="1" x14ac:dyDescent="0.25">
      <c r="A812" s="5">
        <v>778</v>
      </c>
      <c r="B812" s="9">
        <v>778</v>
      </c>
      <c r="C812" s="9" t="s">
        <v>9854</v>
      </c>
      <c r="D812" s="57" t="str">
        <f>HYPERLINK("http://prodenv.dep.state.fl.us/DepNexus/public/electronic-documents/OG_778/facility!search","OG_778_Docs")</f>
        <v>OG_778_Docs</v>
      </c>
      <c r="E812" s="57" t="str">
        <f>HYPERLINK("https://ca.dep.state.fl.us/mapdirect/?focus=oilandgas&amp;zoom=query&amp;querytype=oilandgas&amp;queryvalues=OG_778","OG_778_Map")</f>
        <v>OG_778_Map</v>
      </c>
      <c r="F812" s="1" t="s">
        <v>265</v>
      </c>
      <c r="G812" s="1" t="s">
        <v>79</v>
      </c>
      <c r="H812" s="1" t="s">
        <v>9855</v>
      </c>
      <c r="I812" s="1" t="s">
        <v>9856</v>
      </c>
      <c r="J812" s="17" t="s">
        <v>82</v>
      </c>
      <c r="K812" s="17" t="s">
        <v>83</v>
      </c>
      <c r="L812" s="17" t="s">
        <v>101</v>
      </c>
      <c r="M812" s="17" t="s">
        <v>101</v>
      </c>
      <c r="N812" s="52" t="s">
        <v>7514</v>
      </c>
      <c r="O812" s="17" t="s">
        <v>270</v>
      </c>
      <c r="P812" s="17" t="s">
        <v>86</v>
      </c>
      <c r="Q812" s="81" t="s">
        <v>9857</v>
      </c>
      <c r="R812" s="11">
        <v>25.959658999999998</v>
      </c>
      <c r="S812" s="11">
        <v>-81.563518999999999</v>
      </c>
      <c r="T812" s="11" t="s">
        <v>9858</v>
      </c>
      <c r="U812" s="11" t="s">
        <v>9859</v>
      </c>
      <c r="V812" s="17" t="s">
        <v>9860</v>
      </c>
      <c r="W812" s="17" t="s">
        <v>110</v>
      </c>
      <c r="X812" s="70">
        <v>30</v>
      </c>
      <c r="Y812" s="70">
        <v>0.97</v>
      </c>
      <c r="Z812" s="13">
        <v>27485</v>
      </c>
      <c r="AA812" s="13">
        <v>27567</v>
      </c>
      <c r="AB812" s="13"/>
      <c r="AC812" s="13">
        <v>27680</v>
      </c>
      <c r="AD812" s="86">
        <v>18670</v>
      </c>
      <c r="AE812" s="86">
        <v>18670</v>
      </c>
      <c r="AF812" s="70" t="s">
        <v>9861</v>
      </c>
      <c r="AG812" s="17" t="s">
        <v>9862</v>
      </c>
      <c r="AH812" s="17" t="s">
        <v>5954</v>
      </c>
      <c r="AI812" s="70" t="s">
        <v>9863</v>
      </c>
      <c r="AJ812" s="17" t="s">
        <v>98</v>
      </c>
      <c r="AK812" s="17" t="s">
        <v>95</v>
      </c>
      <c r="AL812" s="17" t="s">
        <v>9864</v>
      </c>
      <c r="AM812" s="17" t="s">
        <v>95</v>
      </c>
      <c r="AN812" s="17" t="s">
        <v>9865</v>
      </c>
      <c r="AO812" s="17" t="s">
        <v>98</v>
      </c>
      <c r="AP812" s="17" t="s">
        <v>98</v>
      </c>
      <c r="AQ812" s="17" t="s">
        <v>98</v>
      </c>
      <c r="AR812" s="17" t="s">
        <v>94</v>
      </c>
      <c r="AS812" s="17" t="s">
        <v>9866</v>
      </c>
      <c r="AT812" s="17"/>
      <c r="AU812" s="30" t="s">
        <v>9867</v>
      </c>
      <c r="AV812" s="14">
        <v>12838</v>
      </c>
      <c r="AW812" s="74"/>
      <c r="AX812" s="1"/>
      <c r="AY812" s="17" t="s">
        <v>101</v>
      </c>
    </row>
    <row r="813" spans="1:51" ht="12.75" customHeight="1" x14ac:dyDescent="0.25">
      <c r="A813" s="5">
        <v>779</v>
      </c>
      <c r="B813" s="9">
        <v>779</v>
      </c>
      <c r="C813" s="9" t="s">
        <v>9868</v>
      </c>
      <c r="D813" s="57" t="str">
        <f>HYPERLINK("http://prodenv.dep.state.fl.us/DepNexus/public/electronic-documents/OG_779/facility!search","OG_779_Docs")</f>
        <v>OG_779_Docs</v>
      </c>
      <c r="E813" s="57" t="str">
        <f>HYPERLINK("https://ca.dep.state.fl.us/mapdirect/?focus=oilandgas&amp;zoom=query&amp;querytype=oilandgas&amp;queryvalues=OG_779","OG_779_Map")</f>
        <v>OG_779_Map</v>
      </c>
      <c r="F813" s="1" t="s">
        <v>265</v>
      </c>
      <c r="G813" s="1" t="s">
        <v>7239</v>
      </c>
      <c r="H813" s="1" t="s">
        <v>8261</v>
      </c>
      <c r="I813" s="1" t="s">
        <v>9869</v>
      </c>
      <c r="J813" s="17" t="s">
        <v>268</v>
      </c>
      <c r="K813" s="17" t="s">
        <v>412</v>
      </c>
      <c r="L813" s="17"/>
      <c r="M813" s="17"/>
      <c r="N813" s="52" t="s">
        <v>9870</v>
      </c>
      <c r="O813" s="17" t="s">
        <v>270</v>
      </c>
      <c r="P813" s="17" t="s">
        <v>3395</v>
      </c>
      <c r="Q813" s="81" t="s">
        <v>9871</v>
      </c>
      <c r="R813" s="11">
        <v>26.23235</v>
      </c>
      <c r="S813" s="11">
        <v>-81.295424999999994</v>
      </c>
      <c r="T813" s="11" t="s">
        <v>9872</v>
      </c>
      <c r="U813" s="11" t="s">
        <v>9873</v>
      </c>
      <c r="V813" s="17" t="s">
        <v>9874</v>
      </c>
      <c r="W813" s="17" t="s">
        <v>9875</v>
      </c>
      <c r="X813" s="70">
        <v>34</v>
      </c>
      <c r="Y813" s="70">
        <v>18</v>
      </c>
      <c r="Z813" s="13">
        <v>27485</v>
      </c>
      <c r="AA813" s="13">
        <v>27486</v>
      </c>
      <c r="AB813" s="13">
        <v>27598</v>
      </c>
      <c r="AC813" s="13">
        <v>33506</v>
      </c>
      <c r="AD813" s="86">
        <v>11608</v>
      </c>
      <c r="AE813" s="86">
        <v>12203</v>
      </c>
      <c r="AF813" s="70" t="s">
        <v>5190</v>
      </c>
      <c r="AG813" s="17" t="s">
        <v>9147</v>
      </c>
      <c r="AH813" s="17" t="s">
        <v>9876</v>
      </c>
      <c r="AI813" s="70" t="s">
        <v>9877</v>
      </c>
      <c r="AJ813" s="17" t="s">
        <v>9878</v>
      </c>
      <c r="AK813" s="17" t="s">
        <v>95</v>
      </c>
      <c r="AL813" s="17" t="s">
        <v>86</v>
      </c>
      <c r="AM813" s="17" t="s">
        <v>94</v>
      </c>
      <c r="AN813" s="17" t="s">
        <v>9879</v>
      </c>
      <c r="AO813" s="17" t="s">
        <v>9880</v>
      </c>
      <c r="AP813" s="17" t="s">
        <v>5061</v>
      </c>
      <c r="AQ813" s="17" t="s">
        <v>5243</v>
      </c>
      <c r="AR813" s="17" t="s">
        <v>9881</v>
      </c>
      <c r="AS813" s="17" t="s">
        <v>9882</v>
      </c>
      <c r="AT813" s="17">
        <v>198</v>
      </c>
      <c r="AU813" s="30" t="s">
        <v>9883</v>
      </c>
      <c r="AV813" s="14">
        <v>12996</v>
      </c>
      <c r="AW813" s="74"/>
      <c r="AX813" s="1"/>
      <c r="AY813" s="17" t="s">
        <v>101</v>
      </c>
    </row>
    <row r="814" spans="1:51" ht="12.75" customHeight="1" x14ac:dyDescent="0.25">
      <c r="A814" s="5">
        <v>780</v>
      </c>
      <c r="B814" s="9">
        <v>780</v>
      </c>
      <c r="C814" s="9" t="s">
        <v>9884</v>
      </c>
      <c r="D814" s="57" t="str">
        <f>HYPERLINK("http://prodenv.dep.state.fl.us/DepNexus/public/electronic-documents/OG_780/facility!search","OG_780_Docs")</f>
        <v>OG_780_Docs</v>
      </c>
      <c r="E814" s="57" t="str">
        <f>HYPERLINK("https://ca.dep.state.fl.us/mapdirect/?focus=oilandgas&amp;zoom=query&amp;querytype=oilandgas&amp;queryvalues=OG_780","OG_780_Map")</f>
        <v>OG_780_Map</v>
      </c>
      <c r="F814" s="1" t="s">
        <v>265</v>
      </c>
      <c r="G814" s="1" t="s">
        <v>7239</v>
      </c>
      <c r="H814" s="1" t="s">
        <v>8261</v>
      </c>
      <c r="I814" s="1" t="s">
        <v>9885</v>
      </c>
      <c r="J814" s="17" t="s">
        <v>268</v>
      </c>
      <c r="K814" s="17" t="s">
        <v>412</v>
      </c>
      <c r="L814" s="17"/>
      <c r="M814" s="17"/>
      <c r="N814" s="52" t="s">
        <v>4735</v>
      </c>
      <c r="O814" s="17" t="s">
        <v>270</v>
      </c>
      <c r="P814" s="17" t="s">
        <v>86</v>
      </c>
      <c r="Q814" s="81" t="s">
        <v>9886</v>
      </c>
      <c r="R814" s="11">
        <v>26.257016</v>
      </c>
      <c r="S814" s="11">
        <v>-81.313612000000006</v>
      </c>
      <c r="T814" s="11" t="s">
        <v>9887</v>
      </c>
      <c r="U814" s="11" t="s">
        <v>9888</v>
      </c>
      <c r="V814" s="17" t="s">
        <v>9889</v>
      </c>
      <c r="W814" s="17" t="s">
        <v>9890</v>
      </c>
      <c r="X814" s="70">
        <v>44</v>
      </c>
      <c r="Y814" s="70">
        <v>18</v>
      </c>
      <c r="Z814" s="13">
        <v>27485</v>
      </c>
      <c r="AA814" s="13">
        <v>28180</v>
      </c>
      <c r="AB814" s="13">
        <v>28381</v>
      </c>
      <c r="AC814" s="13">
        <v>33221</v>
      </c>
      <c r="AD814" s="86">
        <v>11625</v>
      </c>
      <c r="AE814" s="86">
        <v>11671</v>
      </c>
      <c r="AF814" s="70" t="s">
        <v>9146</v>
      </c>
      <c r="AG814" s="17" t="s">
        <v>9891</v>
      </c>
      <c r="AH814" s="17" t="s">
        <v>9892</v>
      </c>
      <c r="AI814" s="70" t="s">
        <v>9893</v>
      </c>
      <c r="AJ814" s="17" t="s">
        <v>9894</v>
      </c>
      <c r="AK814" s="17" t="s">
        <v>94</v>
      </c>
      <c r="AL814" s="17" t="s">
        <v>9895</v>
      </c>
      <c r="AM814" s="17" t="s">
        <v>94</v>
      </c>
      <c r="AN814" s="17" t="s">
        <v>94</v>
      </c>
      <c r="AO814" s="17" t="s">
        <v>4907</v>
      </c>
      <c r="AP814" s="17" t="s">
        <v>9896</v>
      </c>
      <c r="AQ814" s="17" t="s">
        <v>9897</v>
      </c>
      <c r="AR814" s="17" t="s">
        <v>9898</v>
      </c>
      <c r="AS814" s="17" t="s">
        <v>9899</v>
      </c>
      <c r="AT814" s="17">
        <v>170</v>
      </c>
      <c r="AU814" s="30" t="s">
        <v>9900</v>
      </c>
      <c r="AV814" s="14">
        <v>13708</v>
      </c>
      <c r="AW814" s="74"/>
      <c r="AX814" s="1" t="s">
        <v>9901</v>
      </c>
      <c r="AY814" s="17" t="s">
        <v>101</v>
      </c>
    </row>
    <row r="815" spans="1:51" ht="15" customHeight="1" x14ac:dyDescent="0.25">
      <c r="A815" s="5">
        <v>781</v>
      </c>
      <c r="B815" s="9">
        <v>781</v>
      </c>
      <c r="C815" s="9" t="s">
        <v>9902</v>
      </c>
      <c r="D815" s="57" t="str">
        <f>HYPERLINK("http://prodenv.dep.state.fl.us/DepNexus/public/electronic-documents/OG_781/facility!search","OG_781_Docs")</f>
        <v>OG_781_Docs</v>
      </c>
      <c r="E815" s="57" t="str">
        <f>HYPERLINK("https://ca.dep.state.fl.us/mapdirect/?focus=oilandgas&amp;zoom=query&amp;querytype=oilandgas&amp;queryvalues=OG_781","OG_781_Map")</f>
        <v>OG_781_Map</v>
      </c>
      <c r="F815" s="1" t="s">
        <v>1752</v>
      </c>
      <c r="G815" s="1" t="s">
        <v>8522</v>
      </c>
      <c r="H815" s="1" t="s">
        <v>9903</v>
      </c>
      <c r="I815" s="1" t="s">
        <v>9904</v>
      </c>
      <c r="J815" s="17" t="s">
        <v>268</v>
      </c>
      <c r="K815" s="17" t="s">
        <v>412</v>
      </c>
      <c r="L815" s="17"/>
      <c r="M815" s="17"/>
      <c r="N815" s="52" t="s">
        <v>5949</v>
      </c>
      <c r="O815" s="17" t="s">
        <v>270</v>
      </c>
      <c r="P815" s="17" t="s">
        <v>5157</v>
      </c>
      <c r="Q815" s="81" t="s">
        <v>9905</v>
      </c>
      <c r="R815" s="11">
        <v>26.303621</v>
      </c>
      <c r="S815" s="11">
        <v>-81.071010000000001</v>
      </c>
      <c r="T815" s="11" t="s">
        <v>9906</v>
      </c>
      <c r="U815" s="11" t="s">
        <v>9907</v>
      </c>
      <c r="V815" s="17" t="s">
        <v>941</v>
      </c>
      <c r="W815" s="17" t="s">
        <v>110</v>
      </c>
      <c r="X815" s="70">
        <v>38</v>
      </c>
      <c r="Y815" s="70">
        <v>18</v>
      </c>
      <c r="Z815" s="13">
        <v>27485</v>
      </c>
      <c r="AA815" s="13">
        <v>27579</v>
      </c>
      <c r="AB815" s="13"/>
      <c r="AC815" s="13">
        <v>27898</v>
      </c>
      <c r="AD815" s="86">
        <v>11670</v>
      </c>
      <c r="AE815" s="86">
        <v>11670</v>
      </c>
      <c r="AF815" s="70" t="s">
        <v>9908</v>
      </c>
      <c r="AG815" s="17" t="s">
        <v>7211</v>
      </c>
      <c r="AH815" s="17" t="s">
        <v>9909</v>
      </c>
      <c r="AI815" s="70" t="s">
        <v>9910</v>
      </c>
      <c r="AJ815" s="17" t="s">
        <v>94</v>
      </c>
      <c r="AK815" s="17" t="s">
        <v>94</v>
      </c>
      <c r="AL815" s="17" t="s">
        <v>9911</v>
      </c>
      <c r="AM815" s="17" t="s">
        <v>94</v>
      </c>
      <c r="AN815" s="17" t="s">
        <v>9912</v>
      </c>
      <c r="AO815" s="17">
        <v>17</v>
      </c>
      <c r="AP815" s="17" t="s">
        <v>5061</v>
      </c>
      <c r="AQ815" s="17" t="s">
        <v>9913</v>
      </c>
      <c r="AR815" s="17" t="s">
        <v>9914</v>
      </c>
      <c r="AS815" s="17" t="s">
        <v>9915</v>
      </c>
      <c r="AT815" s="17"/>
      <c r="AU815" s="30" t="s">
        <v>9916</v>
      </c>
      <c r="AV815" s="14">
        <v>12842</v>
      </c>
      <c r="AW815" s="74"/>
      <c r="AX815" s="1"/>
      <c r="AY815" s="17" t="s">
        <v>101</v>
      </c>
    </row>
    <row r="816" spans="1:51" ht="15" customHeight="1" x14ac:dyDescent="0.25">
      <c r="A816" s="5">
        <v>782</v>
      </c>
      <c r="B816" s="9">
        <v>782</v>
      </c>
      <c r="C816" s="9" t="s">
        <v>9917</v>
      </c>
      <c r="D816" s="57" t="str">
        <f>HYPERLINK("http://prodenv.dep.state.fl.us/DepNexus/public/electronic-documents/OG_782/facility!search","OG_782_Docs")</f>
        <v>OG_782_Docs</v>
      </c>
      <c r="E816" s="57" t="str">
        <f>HYPERLINK("https://ca.dep.state.fl.us/mapdirect/?focus=oilandgas&amp;zoom=query&amp;querytype=oilandgas&amp;queryvalues=OG_782","OG_782_Map")</f>
        <v>OG_782_Map</v>
      </c>
      <c r="F816" s="1" t="s">
        <v>265</v>
      </c>
      <c r="G816" s="1" t="s">
        <v>79</v>
      </c>
      <c r="H816" s="1" t="s">
        <v>7255</v>
      </c>
      <c r="I816" s="1" t="s">
        <v>9918</v>
      </c>
      <c r="J816" s="17" t="s">
        <v>207</v>
      </c>
      <c r="K816" s="17" t="s">
        <v>208</v>
      </c>
      <c r="L816" s="17"/>
      <c r="M816" s="17" t="s">
        <v>207</v>
      </c>
      <c r="N816" s="52" t="s">
        <v>207</v>
      </c>
      <c r="O816" s="17" t="s">
        <v>270</v>
      </c>
      <c r="P816" s="17" t="s">
        <v>3395</v>
      </c>
      <c r="Q816" s="81" t="s">
        <v>9919</v>
      </c>
      <c r="R816" s="11">
        <v>26.182794999999999</v>
      </c>
      <c r="S816" s="11">
        <v>-81.247493000000006</v>
      </c>
      <c r="T816" s="11" t="s">
        <v>9115</v>
      </c>
      <c r="U816" s="11" t="s">
        <v>9116</v>
      </c>
      <c r="V816" s="17" t="s">
        <v>9920</v>
      </c>
      <c r="W816" s="17" t="s">
        <v>9921</v>
      </c>
      <c r="X816" s="70"/>
      <c r="Y816" s="70"/>
      <c r="Z816" s="13">
        <v>27485</v>
      </c>
      <c r="AA816" s="13"/>
      <c r="AB816" s="13"/>
      <c r="AC816" s="13"/>
      <c r="AD816" s="86"/>
      <c r="AE816" s="70"/>
      <c r="AF816" s="70" t="s">
        <v>207</v>
      </c>
      <c r="AG816" s="14" t="s">
        <v>207</v>
      </c>
      <c r="AH816" s="14" t="s">
        <v>207</v>
      </c>
      <c r="AI816" s="70" t="s">
        <v>207</v>
      </c>
      <c r="AJ816" s="14" t="s">
        <v>207</v>
      </c>
      <c r="AK816" s="14" t="s">
        <v>207</v>
      </c>
      <c r="AL816" s="14" t="s">
        <v>207</v>
      </c>
      <c r="AM816" s="14" t="s">
        <v>207</v>
      </c>
      <c r="AN816" s="14" t="s">
        <v>207</v>
      </c>
      <c r="AO816" s="14" t="s">
        <v>207</v>
      </c>
      <c r="AP816" s="14" t="s">
        <v>207</v>
      </c>
      <c r="AQ816" s="14" t="s">
        <v>207</v>
      </c>
      <c r="AR816" s="14" t="s">
        <v>207</v>
      </c>
      <c r="AS816" s="14" t="s">
        <v>207</v>
      </c>
      <c r="AT816" s="14" t="s">
        <v>207</v>
      </c>
      <c r="AU816" s="30" t="s">
        <v>9922</v>
      </c>
      <c r="AV816" s="14" t="s">
        <v>207</v>
      </c>
      <c r="AW816" s="74"/>
      <c r="AX816" s="1" t="s">
        <v>9923</v>
      </c>
      <c r="AY816" s="17" t="s">
        <v>101</v>
      </c>
    </row>
    <row r="817" spans="1:51" ht="15" customHeight="1" x14ac:dyDescent="0.25">
      <c r="A817" s="5">
        <v>783</v>
      </c>
      <c r="B817" s="9">
        <v>783</v>
      </c>
      <c r="C817" s="9" t="s">
        <v>9924</v>
      </c>
      <c r="D817" s="57" t="str">
        <f>HYPERLINK("http://prodenv.dep.state.fl.us/DepNexus/public/electronic-documents/OG_783/facility!search","OG_783_Docs")</f>
        <v>OG_783_Docs</v>
      </c>
      <c r="E817" s="57" t="str">
        <f>HYPERLINK("https://ca.dep.state.fl.us/mapdirect/?focus=oilandgas&amp;zoom=query&amp;querytype=oilandgas&amp;queryvalues=OG_783","OG_783_Map")</f>
        <v>OG_783_Map</v>
      </c>
      <c r="F817" s="1" t="s">
        <v>1752</v>
      </c>
      <c r="G817" s="1" t="s">
        <v>79</v>
      </c>
      <c r="H817" s="1" t="s">
        <v>9925</v>
      </c>
      <c r="I817" s="1" t="s">
        <v>9926</v>
      </c>
      <c r="J817" s="17" t="s">
        <v>82</v>
      </c>
      <c r="K817" s="17" t="s">
        <v>83</v>
      </c>
      <c r="L817" s="17"/>
      <c r="M817" s="17"/>
      <c r="N817" s="52" t="s">
        <v>5949</v>
      </c>
      <c r="O817" s="17" t="s">
        <v>270</v>
      </c>
      <c r="P817" s="17" t="s">
        <v>86</v>
      </c>
      <c r="Q817" s="81" t="s">
        <v>9927</v>
      </c>
      <c r="R817" s="11">
        <v>26.375264999999999</v>
      </c>
      <c r="S817" s="11">
        <v>-81.128764000000004</v>
      </c>
      <c r="T817" s="11" t="s">
        <v>9928</v>
      </c>
      <c r="U817" s="11" t="s">
        <v>9929</v>
      </c>
      <c r="V817" s="17" t="s">
        <v>9930</v>
      </c>
      <c r="W817" s="17"/>
      <c r="X817" s="70"/>
      <c r="Y817" s="70"/>
      <c r="Z817" s="13">
        <v>27485</v>
      </c>
      <c r="AA817" s="13">
        <v>27551</v>
      </c>
      <c r="AB817" s="13"/>
      <c r="AC817" s="13">
        <v>27589</v>
      </c>
      <c r="AD817" s="86">
        <v>11730</v>
      </c>
      <c r="AE817" s="86">
        <v>11730</v>
      </c>
      <c r="AF817" s="70" t="s">
        <v>183</v>
      </c>
      <c r="AG817" s="17" t="s">
        <v>8773</v>
      </c>
      <c r="AH817" s="17" t="s">
        <v>3789</v>
      </c>
      <c r="AI817" s="70" t="s">
        <v>94</v>
      </c>
      <c r="AJ817" s="17" t="s">
        <v>94</v>
      </c>
      <c r="AK817" s="17" t="s">
        <v>94</v>
      </c>
      <c r="AL817" s="17" t="s">
        <v>94</v>
      </c>
      <c r="AM817" s="17" t="s">
        <v>94</v>
      </c>
      <c r="AN817" s="17" t="s">
        <v>94</v>
      </c>
      <c r="AO817" s="17" t="s">
        <v>98</v>
      </c>
      <c r="AP817" s="17" t="s">
        <v>98</v>
      </c>
      <c r="AQ817" s="17" t="s">
        <v>98</v>
      </c>
      <c r="AR817" s="17" t="s">
        <v>94</v>
      </c>
      <c r="AS817" s="17" t="s">
        <v>9931</v>
      </c>
      <c r="AT817" s="17"/>
      <c r="AU817" s="30" t="s">
        <v>9932</v>
      </c>
      <c r="AV817" s="14">
        <v>13017</v>
      </c>
      <c r="AW817" s="74"/>
      <c r="AX817" s="1"/>
      <c r="AY817" s="17" t="s">
        <v>101</v>
      </c>
    </row>
    <row r="818" spans="1:51" ht="12.75" customHeight="1" x14ac:dyDescent="0.25">
      <c r="A818" s="5">
        <v>784</v>
      </c>
      <c r="B818" s="9">
        <v>784</v>
      </c>
      <c r="C818" s="9" t="s">
        <v>9933</v>
      </c>
      <c r="D818" s="57" t="str">
        <f>HYPERLINK("http://prodenv.dep.state.fl.us/DepNexus/public/electronic-documents/OG_784/facility!search","OG_784_Docs")</f>
        <v>OG_784_Docs</v>
      </c>
      <c r="E818" s="57" t="str">
        <f>HYPERLINK("https://ca.dep.state.fl.us/mapdirect/?focus=oilandgas&amp;zoom=query&amp;querytype=oilandgas&amp;queryvalues=OG_784","OG_784_Map")</f>
        <v>OG_784_Map</v>
      </c>
      <c r="F818" s="1" t="s">
        <v>2026</v>
      </c>
      <c r="G818" s="1" t="s">
        <v>9085</v>
      </c>
      <c r="H818" s="1" t="s">
        <v>8261</v>
      </c>
      <c r="I818" s="1" t="s">
        <v>9934</v>
      </c>
      <c r="J818" s="17" t="s">
        <v>207</v>
      </c>
      <c r="K818" s="17" t="s">
        <v>208</v>
      </c>
      <c r="L818" s="17"/>
      <c r="M818" s="17" t="s">
        <v>207</v>
      </c>
      <c r="N818" s="52" t="s">
        <v>207</v>
      </c>
      <c r="O818" s="17" t="s">
        <v>86</v>
      </c>
      <c r="P818" s="17" t="s">
        <v>86</v>
      </c>
      <c r="Q818" s="81" t="s">
        <v>9935</v>
      </c>
      <c r="R818" s="11">
        <v>26.642143000000001</v>
      </c>
      <c r="S818" s="11">
        <v>-81.694254999999998</v>
      </c>
      <c r="T818" s="11" t="s">
        <v>9936</v>
      </c>
      <c r="U818" s="11" t="s">
        <v>9937</v>
      </c>
      <c r="V818" s="17" t="s">
        <v>9938</v>
      </c>
      <c r="W818" s="17" t="s">
        <v>9939</v>
      </c>
      <c r="X818" s="70"/>
      <c r="Y818" s="70"/>
      <c r="Z818" s="13">
        <v>27499</v>
      </c>
      <c r="AA818" s="13"/>
      <c r="AB818" s="13"/>
      <c r="AC818" s="13"/>
      <c r="AD818" s="86"/>
      <c r="AE818" s="70"/>
      <c r="AF818" s="70" t="s">
        <v>207</v>
      </c>
      <c r="AG818" s="14" t="s">
        <v>207</v>
      </c>
      <c r="AH818" s="14" t="s">
        <v>207</v>
      </c>
      <c r="AI818" s="70" t="s">
        <v>207</v>
      </c>
      <c r="AJ818" s="14" t="s">
        <v>207</v>
      </c>
      <c r="AK818" s="14" t="s">
        <v>207</v>
      </c>
      <c r="AL818" s="14" t="s">
        <v>207</v>
      </c>
      <c r="AM818" s="14" t="s">
        <v>207</v>
      </c>
      <c r="AN818" s="14" t="s">
        <v>207</v>
      </c>
      <c r="AO818" s="14" t="s">
        <v>207</v>
      </c>
      <c r="AP818" s="14" t="s">
        <v>207</v>
      </c>
      <c r="AQ818" s="14" t="s">
        <v>207</v>
      </c>
      <c r="AR818" s="14" t="s">
        <v>207</v>
      </c>
      <c r="AS818" s="14" t="s">
        <v>207</v>
      </c>
      <c r="AT818" s="14" t="s">
        <v>207</v>
      </c>
      <c r="AU818" s="30" t="s">
        <v>9940</v>
      </c>
      <c r="AV818" s="14" t="s">
        <v>207</v>
      </c>
      <c r="AW818" s="74"/>
      <c r="AX818" s="1"/>
      <c r="AY818" s="17" t="s">
        <v>101</v>
      </c>
    </row>
    <row r="819" spans="1:51" ht="12.75" customHeight="1" x14ac:dyDescent="0.25">
      <c r="A819" s="5">
        <v>785</v>
      </c>
      <c r="B819" s="9">
        <v>785</v>
      </c>
      <c r="C819" s="9" t="s">
        <v>9941</v>
      </c>
      <c r="D819" s="57" t="str">
        <f>HYPERLINK("http://prodenv.dep.state.fl.us/DepNexus/public/electronic-documents/OG_785/facility!search","OG_785_Docs")</f>
        <v>OG_785_Docs</v>
      </c>
      <c r="E819" s="57" t="str">
        <f>HYPERLINK("https://ca.dep.state.fl.us/mapdirect/?focus=oilandgas&amp;zoom=query&amp;querytype=oilandgas&amp;queryvalues=OG_785","OG_785_Map")</f>
        <v>OG_785_Map</v>
      </c>
      <c r="F819" s="1" t="s">
        <v>740</v>
      </c>
      <c r="G819" s="1" t="s">
        <v>79</v>
      </c>
      <c r="H819" s="1" t="s">
        <v>8093</v>
      </c>
      <c r="I819" s="1" t="s">
        <v>2197</v>
      </c>
      <c r="J819" s="17" t="s">
        <v>82</v>
      </c>
      <c r="K819" s="17" t="s">
        <v>83</v>
      </c>
      <c r="L819" s="17"/>
      <c r="M819" s="17" t="s">
        <v>101</v>
      </c>
      <c r="N819" s="52" t="s">
        <v>4735</v>
      </c>
      <c r="O819" s="17" t="s">
        <v>86</v>
      </c>
      <c r="P819" s="17" t="s">
        <v>9942</v>
      </c>
      <c r="Q819" s="81" t="s">
        <v>9943</v>
      </c>
      <c r="R819" s="11">
        <v>29.224226999999999</v>
      </c>
      <c r="S819" s="11">
        <v>-81.738783999999995</v>
      </c>
      <c r="T819" s="11" t="s">
        <v>9944</v>
      </c>
      <c r="U819" s="11" t="s">
        <v>9945</v>
      </c>
      <c r="V819" s="17" t="s">
        <v>9946</v>
      </c>
      <c r="W819" s="17" t="s">
        <v>110</v>
      </c>
      <c r="X819" s="70">
        <v>77</v>
      </c>
      <c r="Y819" s="70">
        <v>64</v>
      </c>
      <c r="Z819" s="13">
        <v>27520</v>
      </c>
      <c r="AA819" s="13">
        <v>27588</v>
      </c>
      <c r="AB819" s="13">
        <v>27617</v>
      </c>
      <c r="AC819" s="13">
        <v>27617</v>
      </c>
      <c r="AD819" s="86">
        <v>4102</v>
      </c>
      <c r="AE819" s="86">
        <v>4102</v>
      </c>
      <c r="AF819" s="70" t="s">
        <v>9947</v>
      </c>
      <c r="AG819" s="17" t="s">
        <v>9948</v>
      </c>
      <c r="AH819" s="17" t="s">
        <v>9949</v>
      </c>
      <c r="AI819" s="70" t="s">
        <v>94</v>
      </c>
      <c r="AJ819" s="17" t="s">
        <v>94</v>
      </c>
      <c r="AK819" s="17" t="s">
        <v>95</v>
      </c>
      <c r="AL819" s="17" t="s">
        <v>86</v>
      </c>
      <c r="AM819" s="17" t="s">
        <v>94</v>
      </c>
      <c r="AN819" s="17" t="s">
        <v>86</v>
      </c>
      <c r="AO819" s="17" t="s">
        <v>98</v>
      </c>
      <c r="AP819" s="17" t="s">
        <v>98</v>
      </c>
      <c r="AQ819" s="17" t="s">
        <v>98</v>
      </c>
      <c r="AR819" s="17" t="s">
        <v>94</v>
      </c>
      <c r="AS819" s="17" t="s">
        <v>9950</v>
      </c>
      <c r="AT819" s="17">
        <v>116</v>
      </c>
      <c r="AU819" s="30" t="s">
        <v>9951</v>
      </c>
      <c r="AV819" s="14">
        <v>15281</v>
      </c>
      <c r="AW819" s="74"/>
      <c r="AX819" s="1"/>
      <c r="AY819" s="17" t="s">
        <v>101</v>
      </c>
    </row>
    <row r="820" spans="1:51" ht="12.75" customHeight="1" x14ac:dyDescent="0.25">
      <c r="A820" s="5">
        <v>786</v>
      </c>
      <c r="B820" s="9">
        <v>786</v>
      </c>
      <c r="C820" s="9" t="s">
        <v>9952</v>
      </c>
      <c r="D820" s="57" t="str">
        <f>HYPERLINK("http://prodenv.dep.state.fl.us/DepNexus/public/electronic-documents/OG_786/facility!search","OG_786_Docs")</f>
        <v>OG_786_Docs</v>
      </c>
      <c r="E820" s="57" t="str">
        <f>HYPERLINK("https://ca.dep.state.fl.us/mapdirect/?focus=oilandgas&amp;zoom=query&amp;querytype=oilandgas&amp;queryvalues=OG_786","OG_786_Map")</f>
        <v>OG_786_Map</v>
      </c>
      <c r="F820" s="1" t="s">
        <v>2026</v>
      </c>
      <c r="G820" s="1" t="s">
        <v>4496</v>
      </c>
      <c r="H820" s="1" t="s">
        <v>8261</v>
      </c>
      <c r="I820" s="1" t="s">
        <v>9953</v>
      </c>
      <c r="J820" s="17" t="s">
        <v>82</v>
      </c>
      <c r="K820" s="17" t="s">
        <v>83</v>
      </c>
      <c r="L820" s="17"/>
      <c r="M820" s="17"/>
      <c r="N820" s="52" t="s">
        <v>9584</v>
      </c>
      <c r="O820" s="17" t="s">
        <v>86</v>
      </c>
      <c r="P820" s="17" t="s">
        <v>86</v>
      </c>
      <c r="Q820" s="81" t="s">
        <v>9954</v>
      </c>
      <c r="R820" s="11">
        <v>26.538267000000001</v>
      </c>
      <c r="S820" s="11">
        <v>-81.595166000000006</v>
      </c>
      <c r="T820" s="11" t="s">
        <v>9955</v>
      </c>
      <c r="U820" s="11" t="s">
        <v>9956</v>
      </c>
      <c r="V820" s="17" t="s">
        <v>9957</v>
      </c>
      <c r="W820" s="17" t="s">
        <v>110</v>
      </c>
      <c r="X820" s="70">
        <v>46.9</v>
      </c>
      <c r="Y820" s="70">
        <v>30.9</v>
      </c>
      <c r="Z820" s="13">
        <v>27520</v>
      </c>
      <c r="AA820" s="13">
        <v>27543</v>
      </c>
      <c r="AB820" s="13"/>
      <c r="AC820" s="13">
        <v>27593</v>
      </c>
      <c r="AD820" s="86">
        <v>12100</v>
      </c>
      <c r="AE820" s="86">
        <v>12100</v>
      </c>
      <c r="AF820" s="70" t="s">
        <v>183</v>
      </c>
      <c r="AG820" s="17" t="s">
        <v>9958</v>
      </c>
      <c r="AH820" s="17" t="s">
        <v>4600</v>
      </c>
      <c r="AI820" s="70" t="s">
        <v>94</v>
      </c>
      <c r="AJ820" s="17" t="s">
        <v>94</v>
      </c>
      <c r="AK820" s="17" t="s">
        <v>825</v>
      </c>
      <c r="AL820" s="17" t="s">
        <v>9959</v>
      </c>
      <c r="AM820" s="17" t="s">
        <v>94</v>
      </c>
      <c r="AN820" s="17" t="s">
        <v>94</v>
      </c>
      <c r="AO820" s="17" t="s">
        <v>98</v>
      </c>
      <c r="AP820" s="17" t="s">
        <v>98</v>
      </c>
      <c r="AQ820" s="17" t="s">
        <v>98</v>
      </c>
      <c r="AR820" s="17" t="s">
        <v>94</v>
      </c>
      <c r="AS820" s="17" t="s">
        <v>9960</v>
      </c>
      <c r="AT820" s="17"/>
      <c r="AU820" s="30" t="s">
        <v>9961</v>
      </c>
      <c r="AV820" s="14">
        <v>12843</v>
      </c>
      <c r="AW820" s="74"/>
      <c r="AX820" s="1"/>
      <c r="AY820" s="17" t="s">
        <v>101</v>
      </c>
    </row>
    <row r="821" spans="1:51" ht="12.75" customHeight="1" x14ac:dyDescent="0.25">
      <c r="A821" s="5">
        <v>787</v>
      </c>
      <c r="B821" s="9">
        <v>787</v>
      </c>
      <c r="C821" s="9" t="s">
        <v>9962</v>
      </c>
      <c r="D821" s="57" t="str">
        <f>HYPERLINK("http://prodenv.dep.state.fl.us/DepNexus/public/electronic-documents/OG_787/facility!search","OG_787_Docs")</f>
        <v>OG_787_Docs</v>
      </c>
      <c r="E821" s="57" t="str">
        <f>HYPERLINK("https://ca.dep.state.fl.us/mapdirect/?focus=oilandgas&amp;zoom=query&amp;querytype=oilandgas&amp;queryvalues=OG_787","OG_787_Map")</f>
        <v>OG_787_Map</v>
      </c>
      <c r="F821" s="1" t="s">
        <v>1752</v>
      </c>
      <c r="G821" s="1" t="s">
        <v>4496</v>
      </c>
      <c r="H821" s="1" t="s">
        <v>8261</v>
      </c>
      <c r="I821" s="1" t="s">
        <v>9602</v>
      </c>
      <c r="J821" s="17" t="s">
        <v>268</v>
      </c>
      <c r="K821" s="17" t="s">
        <v>412</v>
      </c>
      <c r="L821" s="17"/>
      <c r="M821" s="17"/>
      <c r="N821" s="52" t="s">
        <v>9963</v>
      </c>
      <c r="O821" s="17" t="s">
        <v>86</v>
      </c>
      <c r="P821" s="17" t="s">
        <v>86</v>
      </c>
      <c r="Q821" s="81" t="s">
        <v>9603</v>
      </c>
      <c r="R821" s="11">
        <v>26.547785999999999</v>
      </c>
      <c r="S821" s="11">
        <v>-81.563704000000001</v>
      </c>
      <c r="T821" s="11" t="s">
        <v>9964</v>
      </c>
      <c r="U821" s="11" t="s">
        <v>9965</v>
      </c>
      <c r="V821" s="17" t="s">
        <v>9966</v>
      </c>
      <c r="W821" s="17" t="s">
        <v>9967</v>
      </c>
      <c r="X821" s="70">
        <v>46</v>
      </c>
      <c r="Y821" s="70">
        <v>31.5</v>
      </c>
      <c r="Z821" s="13">
        <v>27520</v>
      </c>
      <c r="AA821" s="13">
        <v>27798</v>
      </c>
      <c r="AB821" s="13"/>
      <c r="AC821" s="13">
        <v>32454</v>
      </c>
      <c r="AD821" s="86">
        <v>11711</v>
      </c>
      <c r="AE821" s="86">
        <v>11860</v>
      </c>
      <c r="AF821" s="70" t="s">
        <v>6793</v>
      </c>
      <c r="AG821" s="17" t="s">
        <v>9162</v>
      </c>
      <c r="AH821" s="17" t="s">
        <v>4600</v>
      </c>
      <c r="AI821" s="70" t="s">
        <v>9968</v>
      </c>
      <c r="AJ821" s="17" t="s">
        <v>9969</v>
      </c>
      <c r="AK821" s="17" t="s">
        <v>95</v>
      </c>
      <c r="AL821" s="17" t="s">
        <v>9970</v>
      </c>
      <c r="AM821" s="17" t="s">
        <v>94</v>
      </c>
      <c r="AN821" s="17" t="s">
        <v>94</v>
      </c>
      <c r="AO821" s="17" t="s">
        <v>9971</v>
      </c>
      <c r="AP821" s="17" t="s">
        <v>4176</v>
      </c>
      <c r="AQ821" s="17" t="s">
        <v>9972</v>
      </c>
      <c r="AR821" s="17" t="s">
        <v>9973</v>
      </c>
      <c r="AS821" s="17" t="s">
        <v>9974</v>
      </c>
      <c r="AT821" s="17"/>
      <c r="AU821" s="30" t="s">
        <v>9975</v>
      </c>
      <c r="AV821" s="14">
        <v>13011</v>
      </c>
      <c r="AW821" s="74"/>
      <c r="AX821" s="1" t="s">
        <v>9976</v>
      </c>
      <c r="AY821" s="17" t="s">
        <v>101</v>
      </c>
    </row>
    <row r="822" spans="1:51" ht="12.75" customHeight="1" x14ac:dyDescent="0.25">
      <c r="A822" s="5">
        <v>788</v>
      </c>
      <c r="B822" s="9">
        <v>788</v>
      </c>
      <c r="C822" s="9" t="s">
        <v>9977</v>
      </c>
      <c r="D822" s="57" t="str">
        <f>HYPERLINK("http://prodenv.dep.state.fl.us/DepNexus/public/electronic-documents/OG_788/facility!search","OG_788_Docs")</f>
        <v>OG_788_Docs</v>
      </c>
      <c r="E822" s="57" t="str">
        <f>HYPERLINK("https://ca.dep.state.fl.us/mapdirect/?focus=oilandgas&amp;zoom=query&amp;querytype=oilandgas&amp;queryvalues=OG_788","OG_788_Map")</f>
        <v>OG_788_Map</v>
      </c>
      <c r="F822" s="1" t="s">
        <v>2026</v>
      </c>
      <c r="G822" s="1" t="s">
        <v>9085</v>
      </c>
      <c r="H822" s="1" t="s">
        <v>8261</v>
      </c>
      <c r="I822" s="1" t="s">
        <v>6188</v>
      </c>
      <c r="J822" s="17" t="s">
        <v>207</v>
      </c>
      <c r="K822" s="17" t="s">
        <v>208</v>
      </c>
      <c r="L822" s="17"/>
      <c r="M822" s="17" t="s">
        <v>207</v>
      </c>
      <c r="N822" s="52" t="s">
        <v>207</v>
      </c>
      <c r="O822" s="17" t="s">
        <v>86</v>
      </c>
      <c r="P822" s="17" t="s">
        <v>86</v>
      </c>
      <c r="Q822" s="81" t="s">
        <v>9935</v>
      </c>
      <c r="R822" s="11">
        <v>26.641946000000001</v>
      </c>
      <c r="S822" s="11">
        <v>-81.694282999999999</v>
      </c>
      <c r="T822" s="11" t="s">
        <v>9978</v>
      </c>
      <c r="U822" s="11" t="s">
        <v>9979</v>
      </c>
      <c r="V822" s="17" t="s">
        <v>9938</v>
      </c>
      <c r="W822" s="17" t="s">
        <v>110</v>
      </c>
      <c r="X822" s="70"/>
      <c r="Y822" s="70"/>
      <c r="Z822" s="13">
        <v>27520</v>
      </c>
      <c r="AA822" s="13"/>
      <c r="AB822" s="13"/>
      <c r="AC822" s="13"/>
      <c r="AD822" s="86"/>
      <c r="AE822" s="70"/>
      <c r="AF822" s="70" t="s">
        <v>207</v>
      </c>
      <c r="AG822" s="14" t="s">
        <v>207</v>
      </c>
      <c r="AH822" s="14" t="s">
        <v>207</v>
      </c>
      <c r="AI822" s="70" t="s">
        <v>207</v>
      </c>
      <c r="AJ822" s="14" t="s">
        <v>207</v>
      </c>
      <c r="AK822" s="14" t="s">
        <v>207</v>
      </c>
      <c r="AL822" s="14" t="s">
        <v>207</v>
      </c>
      <c r="AM822" s="14" t="s">
        <v>207</v>
      </c>
      <c r="AN822" s="14" t="s">
        <v>207</v>
      </c>
      <c r="AO822" s="14" t="s">
        <v>207</v>
      </c>
      <c r="AP822" s="14" t="s">
        <v>207</v>
      </c>
      <c r="AQ822" s="14" t="s">
        <v>207</v>
      </c>
      <c r="AR822" s="14" t="s">
        <v>207</v>
      </c>
      <c r="AS822" s="14" t="s">
        <v>207</v>
      </c>
      <c r="AT822" s="14" t="s">
        <v>207</v>
      </c>
      <c r="AU822" s="30" t="s">
        <v>9980</v>
      </c>
      <c r="AV822" s="14" t="s">
        <v>207</v>
      </c>
      <c r="AW822" s="74"/>
      <c r="AX822" s="1"/>
      <c r="AY822" s="17" t="s">
        <v>101</v>
      </c>
    </row>
    <row r="823" spans="1:51" ht="15" customHeight="1" x14ac:dyDescent="0.25">
      <c r="A823" s="5">
        <v>789</v>
      </c>
      <c r="B823" s="9">
        <v>789</v>
      </c>
      <c r="C823" s="9" t="s">
        <v>9981</v>
      </c>
      <c r="D823" s="57" t="str">
        <f>HYPERLINK("http://prodenv.dep.state.fl.us/DepNexus/public/electronic-documents/OG_789/facility!search","OG_789_Docs")</f>
        <v>OG_789_Docs</v>
      </c>
      <c r="E823" s="57" t="str">
        <f>HYPERLINK("https://ca.dep.state.fl.us/mapdirect/?focus=oilandgas&amp;zoom=query&amp;querytype=oilandgas&amp;queryvalues=OG_789","OG_789_Map")</f>
        <v>OG_789_Map</v>
      </c>
      <c r="F823" s="1" t="s">
        <v>1752</v>
      </c>
      <c r="G823" s="1" t="s">
        <v>79</v>
      </c>
      <c r="H823" s="1" t="s">
        <v>7836</v>
      </c>
      <c r="I823" s="1" t="s">
        <v>9982</v>
      </c>
      <c r="J823" s="17" t="s">
        <v>82</v>
      </c>
      <c r="K823" s="17" t="s">
        <v>83</v>
      </c>
      <c r="L823" s="17"/>
      <c r="M823" s="17"/>
      <c r="N823" s="52" t="s">
        <v>6529</v>
      </c>
      <c r="O823" s="17" t="s">
        <v>86</v>
      </c>
      <c r="P823" s="17" t="s">
        <v>86</v>
      </c>
      <c r="Q823" s="81" t="s">
        <v>9983</v>
      </c>
      <c r="R823" s="11">
        <v>26.651394</v>
      </c>
      <c r="S823" s="11">
        <v>-81.263323999999997</v>
      </c>
      <c r="T823" s="11" t="s">
        <v>9984</v>
      </c>
      <c r="U823" s="11" t="s">
        <v>9985</v>
      </c>
      <c r="V823" s="17" t="s">
        <v>9986</v>
      </c>
      <c r="W823" s="17" t="s">
        <v>110</v>
      </c>
      <c r="X823" s="70">
        <v>44.1</v>
      </c>
      <c r="Y823" s="70">
        <v>27.6</v>
      </c>
      <c r="Z823" s="13">
        <v>27534</v>
      </c>
      <c r="AA823" s="13">
        <v>27559</v>
      </c>
      <c r="AB823" s="13"/>
      <c r="AC823" s="13">
        <v>27629</v>
      </c>
      <c r="AD823" s="86">
        <v>12423</v>
      </c>
      <c r="AE823" s="86">
        <v>12423</v>
      </c>
      <c r="AF823" s="70" t="s">
        <v>2752</v>
      </c>
      <c r="AG823" s="17" t="s">
        <v>9987</v>
      </c>
      <c r="AH823" s="17" t="s">
        <v>9988</v>
      </c>
      <c r="AI823" s="70" t="s">
        <v>9989</v>
      </c>
      <c r="AJ823" s="17" t="s">
        <v>94</v>
      </c>
      <c r="AK823" s="17" t="s">
        <v>94</v>
      </c>
      <c r="AL823" s="17" t="s">
        <v>94</v>
      </c>
      <c r="AM823" s="17" t="s">
        <v>94</v>
      </c>
      <c r="AN823" s="17" t="s">
        <v>94</v>
      </c>
      <c r="AO823" s="17" t="s">
        <v>98</v>
      </c>
      <c r="AP823" s="17" t="s">
        <v>98</v>
      </c>
      <c r="AQ823" s="17" t="s">
        <v>98</v>
      </c>
      <c r="AR823" s="17" t="s">
        <v>94</v>
      </c>
      <c r="AS823" s="17" t="s">
        <v>9990</v>
      </c>
      <c r="AT823" s="17"/>
      <c r="AU823" s="30" t="s">
        <v>9991</v>
      </c>
      <c r="AV823" s="14">
        <v>12840</v>
      </c>
      <c r="AW823" s="74"/>
      <c r="AX823" s="1"/>
      <c r="AY823" s="17" t="s">
        <v>101</v>
      </c>
    </row>
    <row r="824" spans="1:51" ht="12.75" customHeight="1" x14ac:dyDescent="0.25">
      <c r="A824" s="5">
        <v>790</v>
      </c>
      <c r="B824" s="9">
        <v>790</v>
      </c>
      <c r="C824" s="9" t="s">
        <v>9992</v>
      </c>
      <c r="D824" s="57" t="str">
        <f>HYPERLINK("http://prodenv.dep.state.fl.us/DepNexus/public/electronic-documents/OG_790/facility!search","OG_790_Docs")</f>
        <v>OG_790_Docs</v>
      </c>
      <c r="E824" s="57" t="str">
        <f>HYPERLINK("https://ca.dep.state.fl.us/mapdirect/?focus=oilandgas&amp;zoom=query&amp;querytype=oilandgas&amp;queryvalues=OG_790","OG_790_Map")</f>
        <v>OG_790_Map</v>
      </c>
      <c r="F824" s="1" t="s">
        <v>1682</v>
      </c>
      <c r="G824" s="1" t="s">
        <v>5133</v>
      </c>
      <c r="H824" s="1" t="s">
        <v>5605</v>
      </c>
      <c r="I824" s="1" t="s">
        <v>9993</v>
      </c>
      <c r="J824" s="17" t="s">
        <v>82</v>
      </c>
      <c r="K824" s="17" t="s">
        <v>82</v>
      </c>
      <c r="L824" s="17"/>
      <c r="M824" s="17"/>
      <c r="N824" s="52" t="s">
        <v>9994</v>
      </c>
      <c r="O824" s="17" t="s">
        <v>86</v>
      </c>
      <c r="P824" s="17" t="s">
        <v>86</v>
      </c>
      <c r="Q824" s="81" t="s">
        <v>9995</v>
      </c>
      <c r="R824" s="11">
        <v>30.978715000000001</v>
      </c>
      <c r="S824" s="11">
        <v>-87.234005999999994</v>
      </c>
      <c r="T824" s="11" t="s">
        <v>9996</v>
      </c>
      <c r="U824" s="11" t="s">
        <v>9997</v>
      </c>
      <c r="V824" s="17" t="s">
        <v>9998</v>
      </c>
      <c r="W824" s="17" t="s">
        <v>110</v>
      </c>
      <c r="X824" s="70">
        <v>87.12</v>
      </c>
      <c r="Y824" s="70">
        <v>62.67</v>
      </c>
      <c r="Z824" s="13">
        <v>27534</v>
      </c>
      <c r="AA824" s="13">
        <v>27542</v>
      </c>
      <c r="AB824" s="13"/>
      <c r="AC824" s="13">
        <v>27629</v>
      </c>
      <c r="AD824" s="86">
        <v>15600</v>
      </c>
      <c r="AE824" s="86">
        <v>15600</v>
      </c>
      <c r="AF824" s="70" t="s">
        <v>1445</v>
      </c>
      <c r="AG824" s="17" t="s">
        <v>9999</v>
      </c>
      <c r="AH824" s="17" t="s">
        <v>94</v>
      </c>
      <c r="AI824" s="70" t="s">
        <v>94</v>
      </c>
      <c r="AJ824" s="17" t="s">
        <v>94</v>
      </c>
      <c r="AK824" s="17" t="s">
        <v>95</v>
      </c>
      <c r="AL824" s="17" t="s">
        <v>10000</v>
      </c>
      <c r="AM824" s="17" t="s">
        <v>95</v>
      </c>
      <c r="AN824" s="17" t="s">
        <v>10001</v>
      </c>
      <c r="AO824" s="17" t="s">
        <v>98</v>
      </c>
      <c r="AP824" s="17" t="s">
        <v>98</v>
      </c>
      <c r="AQ824" s="17" t="s">
        <v>98</v>
      </c>
      <c r="AR824" s="17" t="s">
        <v>94</v>
      </c>
      <c r="AS824" s="17" t="s">
        <v>10002</v>
      </c>
      <c r="AT824" s="17"/>
      <c r="AU824" s="30" t="s">
        <v>10003</v>
      </c>
      <c r="AV824" s="14">
        <v>12839</v>
      </c>
      <c r="AW824" s="74"/>
      <c r="AX824" s="1" t="s">
        <v>10004</v>
      </c>
      <c r="AY824" s="17" t="s">
        <v>101</v>
      </c>
    </row>
    <row r="825" spans="1:51" ht="12.75" customHeight="1" x14ac:dyDescent="0.25">
      <c r="A825" s="5">
        <v>791</v>
      </c>
      <c r="B825" s="9">
        <v>791</v>
      </c>
      <c r="C825" s="9" t="s">
        <v>10005</v>
      </c>
      <c r="D825" s="57" t="str">
        <f>HYPERLINK("http://prodenv.dep.state.fl.us/DepNexus/public/electronic-documents/OG_791/facility!search","OG_791_Docs")</f>
        <v>OG_791_Docs</v>
      </c>
      <c r="E825" s="57" t="str">
        <f>HYPERLINK("https://ca.dep.state.fl.us/mapdirect/?focus=oilandgas&amp;zoom=query&amp;querytype=oilandgas&amp;queryvalues=OG_791","OG_791_Map")</f>
        <v>OG_791_Map</v>
      </c>
      <c r="F825" s="1" t="s">
        <v>1797</v>
      </c>
      <c r="G825" s="1" t="s">
        <v>5133</v>
      </c>
      <c r="H825" s="1" t="s">
        <v>8261</v>
      </c>
      <c r="I825" s="1" t="s">
        <v>10006</v>
      </c>
      <c r="J825" s="17" t="s">
        <v>268</v>
      </c>
      <c r="K825" s="17" t="s">
        <v>6189</v>
      </c>
      <c r="L825" s="17"/>
      <c r="M825" s="17"/>
      <c r="N825" s="52" t="s">
        <v>3193</v>
      </c>
      <c r="O825" s="17" t="s">
        <v>86</v>
      </c>
      <c r="P825" s="17" t="s">
        <v>86</v>
      </c>
      <c r="Q825" s="81" t="s">
        <v>7544</v>
      </c>
      <c r="R825" s="11">
        <v>30.931398999999999</v>
      </c>
      <c r="S825" s="11">
        <v>-87.150081</v>
      </c>
      <c r="T825" s="11" t="s">
        <v>10007</v>
      </c>
      <c r="U825" s="11" t="s">
        <v>10008</v>
      </c>
      <c r="V825" s="23" t="s">
        <v>10009</v>
      </c>
      <c r="W825" s="17" t="s">
        <v>110</v>
      </c>
      <c r="X825" s="70">
        <v>276</v>
      </c>
      <c r="Y825" s="70">
        <v>249</v>
      </c>
      <c r="Z825" s="13">
        <v>27534</v>
      </c>
      <c r="AA825" s="13">
        <v>27555</v>
      </c>
      <c r="AB825" s="13">
        <v>27577</v>
      </c>
      <c r="AC825" s="13">
        <v>34355</v>
      </c>
      <c r="AD825" s="86">
        <v>6600</v>
      </c>
      <c r="AE825" s="86">
        <v>6600</v>
      </c>
      <c r="AF825" s="70" t="s">
        <v>1135</v>
      </c>
      <c r="AG825" s="17" t="s">
        <v>10010</v>
      </c>
      <c r="AH825" s="17" t="s">
        <v>94</v>
      </c>
      <c r="AI825" s="70" t="s">
        <v>10011</v>
      </c>
      <c r="AJ825" s="17" t="s">
        <v>10012</v>
      </c>
      <c r="AK825" s="17" t="s">
        <v>94</v>
      </c>
      <c r="AL825" s="17" t="s">
        <v>94</v>
      </c>
      <c r="AM825" s="17" t="s">
        <v>94</v>
      </c>
      <c r="AN825" s="17" t="s">
        <v>94</v>
      </c>
      <c r="AO825" s="17" t="s">
        <v>94</v>
      </c>
      <c r="AP825" s="17" t="s">
        <v>94</v>
      </c>
      <c r="AQ825" s="17" t="s">
        <v>94</v>
      </c>
      <c r="AR825" s="17" t="s">
        <v>10013</v>
      </c>
      <c r="AS825" s="17" t="s">
        <v>10014</v>
      </c>
      <c r="AT825" s="17">
        <v>150</v>
      </c>
      <c r="AU825" s="30" t="s">
        <v>10015</v>
      </c>
      <c r="AV825" s="14" t="s">
        <v>94</v>
      </c>
      <c r="AW825" s="74"/>
      <c r="AX825" s="24" t="s">
        <v>10016</v>
      </c>
      <c r="AY825" s="17" t="s">
        <v>101</v>
      </c>
    </row>
    <row r="826" spans="1:51" ht="12.75" customHeight="1" x14ac:dyDescent="0.25">
      <c r="A826" s="5">
        <v>792</v>
      </c>
      <c r="B826" s="9">
        <v>792</v>
      </c>
      <c r="C826" s="9" t="s">
        <v>10017</v>
      </c>
      <c r="D826" s="57" t="str">
        <f>HYPERLINK("http://prodenv.dep.state.fl.us/DepNexus/public/electronic-documents/OG_792/facility!search","OG_792_Docs")</f>
        <v>OG_792_Docs</v>
      </c>
      <c r="E826" s="57" t="str">
        <f>HYPERLINK("https://ca.dep.state.fl.us/mapdirect/?focus=oilandgas&amp;zoom=query&amp;querytype=oilandgas&amp;queryvalues=OG_792","OG_792_Map")</f>
        <v>OG_792_Map</v>
      </c>
      <c r="F826" s="1" t="s">
        <v>2026</v>
      </c>
      <c r="G826" s="1" t="s">
        <v>9085</v>
      </c>
      <c r="H826" s="1" t="s">
        <v>8261</v>
      </c>
      <c r="I826" s="1" t="s">
        <v>6188</v>
      </c>
      <c r="J826" s="17" t="s">
        <v>207</v>
      </c>
      <c r="K826" s="17" t="s">
        <v>208</v>
      </c>
      <c r="L826" s="17"/>
      <c r="M826" s="17" t="s">
        <v>207</v>
      </c>
      <c r="N826" s="52" t="s">
        <v>207</v>
      </c>
      <c r="O826" s="17" t="s">
        <v>86</v>
      </c>
      <c r="P826" s="17" t="s">
        <v>86</v>
      </c>
      <c r="Q826" s="81" t="s">
        <v>9088</v>
      </c>
      <c r="R826" s="11">
        <v>26.631105999999999</v>
      </c>
      <c r="S826" s="11">
        <v>-81.699663999999999</v>
      </c>
      <c r="T826" s="11" t="s">
        <v>10018</v>
      </c>
      <c r="U826" s="11" t="s">
        <v>10019</v>
      </c>
      <c r="V826" s="17" t="s">
        <v>10020</v>
      </c>
      <c r="W826" s="17" t="s">
        <v>110</v>
      </c>
      <c r="X826" s="70"/>
      <c r="Y826" s="70"/>
      <c r="Z826" s="13">
        <v>27576</v>
      </c>
      <c r="AA826" s="13"/>
      <c r="AB826" s="13"/>
      <c r="AC826" s="13"/>
      <c r="AD826" s="86"/>
      <c r="AE826" s="70"/>
      <c r="AF826" s="70" t="s">
        <v>207</v>
      </c>
      <c r="AG826" s="14" t="s">
        <v>207</v>
      </c>
      <c r="AH826" s="14" t="s">
        <v>207</v>
      </c>
      <c r="AI826" s="70" t="s">
        <v>207</v>
      </c>
      <c r="AJ826" s="14" t="s">
        <v>207</v>
      </c>
      <c r="AK826" s="14" t="s">
        <v>207</v>
      </c>
      <c r="AL826" s="14" t="s">
        <v>207</v>
      </c>
      <c r="AM826" s="14" t="s">
        <v>207</v>
      </c>
      <c r="AN826" s="14" t="s">
        <v>207</v>
      </c>
      <c r="AO826" s="14" t="s">
        <v>207</v>
      </c>
      <c r="AP826" s="14" t="s">
        <v>207</v>
      </c>
      <c r="AQ826" s="14" t="s">
        <v>207</v>
      </c>
      <c r="AR826" s="14" t="s">
        <v>207</v>
      </c>
      <c r="AS826" s="14" t="s">
        <v>207</v>
      </c>
      <c r="AT826" s="14" t="s">
        <v>207</v>
      </c>
      <c r="AU826" s="30" t="s">
        <v>10021</v>
      </c>
      <c r="AV826" s="14" t="s">
        <v>207</v>
      </c>
      <c r="AW826" s="74"/>
      <c r="AX826" s="1"/>
      <c r="AY826" s="17" t="s">
        <v>101</v>
      </c>
    </row>
    <row r="827" spans="1:51" ht="12.75" customHeight="1" x14ac:dyDescent="0.25">
      <c r="A827" s="5">
        <v>793</v>
      </c>
      <c r="B827" s="9">
        <v>793</v>
      </c>
      <c r="C827" s="9" t="s">
        <v>10022</v>
      </c>
      <c r="D827" s="57" t="str">
        <f>HYPERLINK("http://prodenv.dep.state.fl.us/DepNexus/public/electronic-documents/OG_793/facility!search","OG_793_Docs")</f>
        <v>OG_793_Docs</v>
      </c>
      <c r="E827" s="57" t="str">
        <f>HYPERLINK("https://ca.dep.state.fl.us/mapdirect/?focus=oilandgas&amp;zoom=query&amp;querytype=oilandgas&amp;queryvalues=OG_793","OG_793_Map")</f>
        <v>OG_793_Map</v>
      </c>
      <c r="F827" s="1" t="s">
        <v>314</v>
      </c>
      <c r="G827" s="1" t="s">
        <v>79</v>
      </c>
      <c r="H827" s="1" t="s">
        <v>7338</v>
      </c>
      <c r="I827" s="1" t="s">
        <v>10023</v>
      </c>
      <c r="J827" s="17" t="s">
        <v>82</v>
      </c>
      <c r="K827" s="17" t="s">
        <v>83</v>
      </c>
      <c r="L827" s="17"/>
      <c r="M827" s="17"/>
      <c r="N827" s="52" t="s">
        <v>86</v>
      </c>
      <c r="O827" s="17" t="s">
        <v>86</v>
      </c>
      <c r="P827" s="17" t="s">
        <v>86</v>
      </c>
      <c r="Q827" s="81" t="s">
        <v>10024</v>
      </c>
      <c r="R827" s="11">
        <v>30.852740000000001</v>
      </c>
      <c r="S827" s="11">
        <v>-86.092659999999995</v>
      </c>
      <c r="T827" s="11" t="s">
        <v>10025</v>
      </c>
      <c r="U827" s="11" t="s">
        <v>10026</v>
      </c>
      <c r="V827" s="17" t="s">
        <v>10027</v>
      </c>
      <c r="W827" s="17" t="s">
        <v>110</v>
      </c>
      <c r="X827" s="70"/>
      <c r="Y827" s="70">
        <v>285.60000000000002</v>
      </c>
      <c r="Z827" s="13">
        <v>27590</v>
      </c>
      <c r="AA827" s="13">
        <v>27683</v>
      </c>
      <c r="AB827" s="13"/>
      <c r="AC827" s="13">
        <v>27687</v>
      </c>
      <c r="AD827" s="86">
        <v>4674</v>
      </c>
      <c r="AE827" s="86">
        <v>4674</v>
      </c>
      <c r="AF827" s="70" t="s">
        <v>98</v>
      </c>
      <c r="AG827" s="17" t="s">
        <v>98</v>
      </c>
      <c r="AH827" s="17" t="s">
        <v>94</v>
      </c>
      <c r="AI827" s="70" t="s">
        <v>98</v>
      </c>
      <c r="AJ827" s="17" t="s">
        <v>98</v>
      </c>
      <c r="AK827" s="17" t="s">
        <v>98</v>
      </c>
      <c r="AL827" s="17" t="s">
        <v>98</v>
      </c>
      <c r="AM827" s="17" t="s">
        <v>98</v>
      </c>
      <c r="AN827" s="17" t="s">
        <v>98</v>
      </c>
      <c r="AO827" s="17" t="s">
        <v>98</v>
      </c>
      <c r="AP827" s="17" t="s">
        <v>98</v>
      </c>
      <c r="AQ827" s="17" t="s">
        <v>98</v>
      </c>
      <c r="AR827" s="17" t="s">
        <v>98</v>
      </c>
      <c r="AS827" s="17" t="s">
        <v>10028</v>
      </c>
      <c r="AT827" s="17" t="s">
        <v>98</v>
      </c>
      <c r="AU827" s="30" t="s">
        <v>10029</v>
      </c>
      <c r="AV827" s="14" t="s">
        <v>94</v>
      </c>
      <c r="AW827" s="74"/>
      <c r="AX827" s="1" t="s">
        <v>10030</v>
      </c>
      <c r="AY827" s="17" t="s">
        <v>101</v>
      </c>
    </row>
    <row r="828" spans="1:51" ht="12.75" customHeight="1" x14ac:dyDescent="0.25">
      <c r="A828" s="5">
        <v>793.1</v>
      </c>
      <c r="B828" s="9" t="s">
        <v>10031</v>
      </c>
      <c r="C828" s="9" t="s">
        <v>10022</v>
      </c>
      <c r="D828" s="57" t="str">
        <f>HYPERLINK("http://prodenv.dep.state.fl.us/DepNexus/public/electronic-documents/OG_793/facility!search","OG_793_Docs")</f>
        <v>OG_793_Docs</v>
      </c>
      <c r="E828" s="57" t="str">
        <f>HYPERLINK("https://ca.dep.state.fl.us/mapdirect/?focus=oilandgas&amp;zoom=query&amp;querytype=oilandgas&amp;queryvalues=OG_793","OG_793_Map")</f>
        <v>OG_793_Map</v>
      </c>
      <c r="F828" s="1" t="s">
        <v>314</v>
      </c>
      <c r="G828" s="1" t="s">
        <v>79</v>
      </c>
      <c r="H828" s="1" t="s">
        <v>7338</v>
      </c>
      <c r="I828" s="1" t="s">
        <v>10032</v>
      </c>
      <c r="J828" s="17" t="s">
        <v>82</v>
      </c>
      <c r="K828" s="17" t="s">
        <v>83</v>
      </c>
      <c r="L828" s="17"/>
      <c r="M828" s="17" t="s">
        <v>101</v>
      </c>
      <c r="N828" s="52" t="s">
        <v>7977</v>
      </c>
      <c r="O828" s="17" t="s">
        <v>86</v>
      </c>
      <c r="P828" s="17" t="s">
        <v>86</v>
      </c>
      <c r="Q828" s="81" t="s">
        <v>10024</v>
      </c>
      <c r="R828" s="11">
        <v>30.852547000000001</v>
      </c>
      <c r="S828" s="11">
        <v>-86.092783999999995</v>
      </c>
      <c r="T828" s="11" t="s">
        <v>10033</v>
      </c>
      <c r="U828" s="11" t="s">
        <v>10034</v>
      </c>
      <c r="V828" s="17" t="s">
        <v>10035</v>
      </c>
      <c r="W828" s="17" t="s">
        <v>110</v>
      </c>
      <c r="X828" s="70"/>
      <c r="Y828" s="70">
        <v>285.60000000000002</v>
      </c>
      <c r="Z828" s="13">
        <v>27590</v>
      </c>
      <c r="AA828" s="13">
        <v>27691</v>
      </c>
      <c r="AB828" s="13"/>
      <c r="AC828" s="13">
        <v>27700</v>
      </c>
      <c r="AD828" s="86">
        <v>4674</v>
      </c>
      <c r="AE828" s="86">
        <v>4674</v>
      </c>
      <c r="AF828" s="70" t="s">
        <v>10036</v>
      </c>
      <c r="AG828" s="17" t="s">
        <v>10037</v>
      </c>
      <c r="AH828" s="17" t="s">
        <v>94</v>
      </c>
      <c r="AI828" s="70" t="s">
        <v>98</v>
      </c>
      <c r="AJ828" s="17" t="s">
        <v>98</v>
      </c>
      <c r="AK828" s="17" t="s">
        <v>95</v>
      </c>
      <c r="AL828" s="17" t="s">
        <v>825</v>
      </c>
      <c r="AM828" s="17" t="s">
        <v>825</v>
      </c>
      <c r="AN828" s="17" t="s">
        <v>98</v>
      </c>
      <c r="AO828" s="17" t="s">
        <v>98</v>
      </c>
      <c r="AP828" s="17" t="s">
        <v>98</v>
      </c>
      <c r="AQ828" s="17" t="s">
        <v>98</v>
      </c>
      <c r="AR828" s="17" t="s">
        <v>98</v>
      </c>
      <c r="AS828" s="17" t="s">
        <v>10038</v>
      </c>
      <c r="AT828" s="17">
        <v>120</v>
      </c>
      <c r="AU828" s="30" t="s">
        <v>10039</v>
      </c>
      <c r="AV828" s="14">
        <v>12890</v>
      </c>
      <c r="AW828" s="74"/>
      <c r="AX828" s="1"/>
      <c r="AY828" s="17" t="s">
        <v>101</v>
      </c>
    </row>
    <row r="829" spans="1:51" ht="12.75" customHeight="1" x14ac:dyDescent="0.25">
      <c r="A829" s="5">
        <v>794</v>
      </c>
      <c r="B829" s="9">
        <v>794</v>
      </c>
      <c r="C829" s="9" t="s">
        <v>10040</v>
      </c>
      <c r="D829" s="57" t="str">
        <f>HYPERLINK("http://prodenv.dep.state.fl.us/DepNexus/public/electronic-documents/OG_794/facility!search","OG_794_Docs")</f>
        <v>OG_794_Docs</v>
      </c>
      <c r="E829" s="57" t="str">
        <f>HYPERLINK("https://ca.dep.state.fl.us/mapdirect/?focus=oilandgas&amp;zoom=query&amp;querytype=oilandgas&amp;queryvalues=OG_794","OG_794_Map")</f>
        <v>OG_794_Map</v>
      </c>
      <c r="F829" s="1" t="s">
        <v>1752</v>
      </c>
      <c r="G829" s="1" t="s">
        <v>3668</v>
      </c>
      <c r="H829" s="1" t="s">
        <v>3669</v>
      </c>
      <c r="I829" s="1" t="s">
        <v>10041</v>
      </c>
      <c r="J829" s="17" t="s">
        <v>268</v>
      </c>
      <c r="K829" s="17" t="s">
        <v>412</v>
      </c>
      <c r="L829" s="17"/>
      <c r="M829" s="17"/>
      <c r="N829" s="52" t="s">
        <v>10042</v>
      </c>
      <c r="O829" s="17" t="s">
        <v>86</v>
      </c>
      <c r="P829" s="17" t="s">
        <v>86</v>
      </c>
      <c r="Q829" s="81" t="s">
        <v>3795</v>
      </c>
      <c r="R829" s="11">
        <v>26.523291</v>
      </c>
      <c r="S829" s="11">
        <v>-81.433437999999995</v>
      </c>
      <c r="T829" s="11" t="s">
        <v>10043</v>
      </c>
      <c r="U829" s="11" t="s">
        <v>10044</v>
      </c>
      <c r="V829" s="17" t="s">
        <v>10045</v>
      </c>
      <c r="W829" s="17"/>
      <c r="X829" s="70">
        <v>53</v>
      </c>
      <c r="Y829" s="70">
        <v>37</v>
      </c>
      <c r="Z829" s="13">
        <v>27590</v>
      </c>
      <c r="AA829" s="13">
        <v>27593</v>
      </c>
      <c r="AB829" s="13">
        <v>27629</v>
      </c>
      <c r="AC829" s="13">
        <v>33584</v>
      </c>
      <c r="AD829" s="86">
        <v>11575</v>
      </c>
      <c r="AE829" s="86">
        <v>11575</v>
      </c>
      <c r="AF829" s="70" t="s">
        <v>10046</v>
      </c>
      <c r="AG829" s="17" t="s">
        <v>10047</v>
      </c>
      <c r="AH829" s="17" t="s">
        <v>10048</v>
      </c>
      <c r="AI829" s="70" t="s">
        <v>10049</v>
      </c>
      <c r="AJ829" s="17" t="s">
        <v>10050</v>
      </c>
      <c r="AK829" s="17" t="s">
        <v>825</v>
      </c>
      <c r="AL829" s="17" t="s">
        <v>825</v>
      </c>
      <c r="AM829" s="17" t="s">
        <v>825</v>
      </c>
      <c r="AN829" s="17" t="s">
        <v>98</v>
      </c>
      <c r="AO829" s="17" t="s">
        <v>10051</v>
      </c>
      <c r="AP829" s="17" t="s">
        <v>10052</v>
      </c>
      <c r="AQ829" s="17" t="s">
        <v>10053</v>
      </c>
      <c r="AR829" s="17" t="s">
        <v>10054</v>
      </c>
      <c r="AS829" s="17" t="s">
        <v>10055</v>
      </c>
      <c r="AT829" s="17">
        <v>182</v>
      </c>
      <c r="AU829" s="30" t="s">
        <v>10056</v>
      </c>
      <c r="AV829" s="14" t="s">
        <v>94</v>
      </c>
      <c r="AW829" s="74"/>
      <c r="AX829" s="1"/>
      <c r="AY829" s="17" t="s">
        <v>101</v>
      </c>
    </row>
    <row r="830" spans="1:51" ht="12.75" customHeight="1" x14ac:dyDescent="0.25">
      <c r="A830" s="5">
        <v>795</v>
      </c>
      <c r="B830" s="9">
        <v>795</v>
      </c>
      <c r="C830" s="9" t="s">
        <v>10057</v>
      </c>
      <c r="D830" s="57" t="str">
        <f>HYPERLINK("http://prodenv.dep.state.fl.us/DepNexus/public/electronic-documents/OG_795/facility!search","OG_795_Docs")</f>
        <v>OG_795_Docs</v>
      </c>
      <c r="E830" s="57" t="str">
        <f>HYPERLINK("https://ca.dep.state.fl.us/mapdirect/?focus=oilandgas&amp;zoom=query&amp;querytype=oilandgas&amp;queryvalues=OG_795","OG_795_Map")</f>
        <v>OG_795_Map</v>
      </c>
      <c r="F830" s="1" t="s">
        <v>7394</v>
      </c>
      <c r="G830" s="1" t="s">
        <v>79</v>
      </c>
      <c r="H830" s="1" t="s">
        <v>8093</v>
      </c>
      <c r="I830" s="1" t="s">
        <v>10058</v>
      </c>
      <c r="J830" s="17" t="s">
        <v>82</v>
      </c>
      <c r="K830" s="17" t="s">
        <v>83</v>
      </c>
      <c r="L830" s="17"/>
      <c r="M830" s="17" t="s">
        <v>101</v>
      </c>
      <c r="N830" s="52" t="s">
        <v>9659</v>
      </c>
      <c r="O830" s="17" t="s">
        <v>86</v>
      </c>
      <c r="P830" s="17" t="s">
        <v>9942</v>
      </c>
      <c r="Q830" s="81" t="s">
        <v>10059</v>
      </c>
      <c r="R830" s="11">
        <v>29.070247999999999</v>
      </c>
      <c r="S830" s="11">
        <v>-81.521348000000003</v>
      </c>
      <c r="T830" s="11" t="s">
        <v>10060</v>
      </c>
      <c r="U830" s="11" t="s">
        <v>10061</v>
      </c>
      <c r="V830" s="17" t="s">
        <v>10062</v>
      </c>
      <c r="W830" s="17" t="s">
        <v>110</v>
      </c>
      <c r="X830" s="70">
        <v>53</v>
      </c>
      <c r="Y830" s="70">
        <v>43</v>
      </c>
      <c r="Z830" s="13">
        <v>27611</v>
      </c>
      <c r="AA830" s="13">
        <v>27604</v>
      </c>
      <c r="AB830" s="13">
        <v>27675</v>
      </c>
      <c r="AC830" s="13">
        <v>27675</v>
      </c>
      <c r="AD830" s="86">
        <v>4893</v>
      </c>
      <c r="AE830" s="86">
        <v>4893</v>
      </c>
      <c r="AF830" s="70" t="s">
        <v>10063</v>
      </c>
      <c r="AG830" s="17" t="s">
        <v>10064</v>
      </c>
      <c r="AH830" s="17" t="s">
        <v>10065</v>
      </c>
      <c r="AI830" s="70" t="s">
        <v>10066</v>
      </c>
      <c r="AJ830" s="17" t="s">
        <v>94</v>
      </c>
      <c r="AK830" s="17" t="s">
        <v>95</v>
      </c>
      <c r="AL830" s="17" t="s">
        <v>94</v>
      </c>
      <c r="AM830" s="17" t="s">
        <v>94</v>
      </c>
      <c r="AN830" s="17" t="s">
        <v>94</v>
      </c>
      <c r="AO830" s="17" t="s">
        <v>98</v>
      </c>
      <c r="AP830" s="17" t="s">
        <v>98</v>
      </c>
      <c r="AQ830" s="17" t="s">
        <v>98</v>
      </c>
      <c r="AR830" s="17" t="s">
        <v>94</v>
      </c>
      <c r="AS830" s="17" t="s">
        <v>10067</v>
      </c>
      <c r="AT830" s="17">
        <v>105</v>
      </c>
      <c r="AU830" s="30" t="s">
        <v>10068</v>
      </c>
      <c r="AV830" s="14">
        <v>12891</v>
      </c>
      <c r="AW830" s="74"/>
      <c r="AX830" s="1"/>
      <c r="AY830" s="17" t="s">
        <v>101</v>
      </c>
    </row>
    <row r="831" spans="1:51" ht="15" customHeight="1" x14ac:dyDescent="0.25">
      <c r="A831" s="5">
        <v>796</v>
      </c>
      <c r="B831" s="9">
        <v>796</v>
      </c>
      <c r="C831" s="9" t="s">
        <v>10069</v>
      </c>
      <c r="D831" s="57" t="str">
        <f>HYPERLINK("http://prodenv.dep.state.fl.us/DepNexus/public/electronic-documents/OG_796/facility!search","OG_796_Docs")</f>
        <v>OG_796_Docs</v>
      </c>
      <c r="E831" s="57" t="str">
        <f>HYPERLINK("https://ca.dep.state.fl.us/mapdirect/?focus=oilandgas&amp;zoom=query&amp;querytype=oilandgas&amp;queryvalues=OG_796","OG_796_Map")</f>
        <v>OG_796_Map</v>
      </c>
      <c r="F831" s="1" t="s">
        <v>1797</v>
      </c>
      <c r="G831" s="1" t="s">
        <v>79</v>
      </c>
      <c r="H831" s="1" t="s">
        <v>7338</v>
      </c>
      <c r="I831" s="1" t="s">
        <v>10070</v>
      </c>
      <c r="J831" s="17" t="s">
        <v>82</v>
      </c>
      <c r="K831" s="17" t="s">
        <v>83</v>
      </c>
      <c r="L831" s="17"/>
      <c r="M831" s="17" t="s">
        <v>84</v>
      </c>
      <c r="N831" s="52" t="s">
        <v>6529</v>
      </c>
      <c r="O831" s="17" t="s">
        <v>86</v>
      </c>
      <c r="P831" s="17" t="s">
        <v>86</v>
      </c>
      <c r="Q831" s="81" t="s">
        <v>10071</v>
      </c>
      <c r="R831" s="11">
        <v>30.790776000000001</v>
      </c>
      <c r="S831" s="11">
        <v>-86.876945000000006</v>
      </c>
      <c r="T831" s="11" t="s">
        <v>10072</v>
      </c>
      <c r="U831" s="11" t="s">
        <v>10073</v>
      </c>
      <c r="V831" s="17" t="s">
        <v>10074</v>
      </c>
      <c r="W831" s="17" t="s">
        <v>110</v>
      </c>
      <c r="X831" s="70"/>
      <c r="Y831" s="70">
        <v>160</v>
      </c>
      <c r="Z831" s="13">
        <v>27646</v>
      </c>
      <c r="AA831" s="13">
        <v>27684</v>
      </c>
      <c r="AB831" s="13"/>
      <c r="AC831" s="13">
        <v>27736</v>
      </c>
      <c r="AD831" s="86">
        <v>15760</v>
      </c>
      <c r="AE831" s="86">
        <v>15760</v>
      </c>
      <c r="AF831" s="70" t="s">
        <v>10075</v>
      </c>
      <c r="AG831" s="17" t="s">
        <v>94</v>
      </c>
      <c r="AH831" s="17" t="s">
        <v>94</v>
      </c>
      <c r="AI831" s="70" t="s">
        <v>94</v>
      </c>
      <c r="AJ831" s="17" t="s">
        <v>94</v>
      </c>
      <c r="AK831" s="17"/>
      <c r="AL831" s="17" t="s">
        <v>10076</v>
      </c>
      <c r="AM831" s="17" t="s">
        <v>94</v>
      </c>
      <c r="AN831" s="17" t="s">
        <v>94</v>
      </c>
      <c r="AO831" s="17" t="s">
        <v>98</v>
      </c>
      <c r="AP831" s="17" t="s">
        <v>98</v>
      </c>
      <c r="AQ831" s="17" t="s">
        <v>98</v>
      </c>
      <c r="AR831" s="17" t="s">
        <v>94</v>
      </c>
      <c r="AS831" s="17" t="s">
        <v>10077</v>
      </c>
      <c r="AT831" s="17">
        <v>248</v>
      </c>
      <c r="AU831" s="30" t="s">
        <v>10078</v>
      </c>
      <c r="AV831" s="14">
        <v>12955</v>
      </c>
      <c r="AW831" s="74"/>
      <c r="AX831" s="1"/>
      <c r="AY831" s="17" t="s">
        <v>101</v>
      </c>
    </row>
    <row r="832" spans="1:51" ht="12.75" customHeight="1" x14ac:dyDescent="0.25">
      <c r="A832" s="5">
        <v>797</v>
      </c>
      <c r="B832" s="9">
        <v>797</v>
      </c>
      <c r="C832" s="9" t="s">
        <v>10079</v>
      </c>
      <c r="D832" s="57" t="str">
        <f>HYPERLINK("http://prodenv.dep.state.fl.us/DepNexus/public/electronic-documents/OG_797/facility!search","OG_797_Docs")</f>
        <v>OG_797_Docs</v>
      </c>
      <c r="E832" s="57" t="str">
        <f>HYPERLINK("https://ca.dep.state.fl.us/mapdirect/?focus=oilandgas&amp;zoom=query&amp;querytype=oilandgas&amp;queryvalues=OG_797","OG_797_Map")</f>
        <v>OG_797_Map</v>
      </c>
      <c r="F832" s="1" t="s">
        <v>265</v>
      </c>
      <c r="G832" s="1" t="s">
        <v>79</v>
      </c>
      <c r="H832" s="1" t="s">
        <v>8261</v>
      </c>
      <c r="I832" s="1" t="s">
        <v>10080</v>
      </c>
      <c r="J832" s="17" t="s">
        <v>207</v>
      </c>
      <c r="K832" s="17" t="s">
        <v>208</v>
      </c>
      <c r="L832" s="17"/>
      <c r="M832" s="17" t="s">
        <v>207</v>
      </c>
      <c r="N832" s="52" t="s">
        <v>86</v>
      </c>
      <c r="O832" s="17" t="s">
        <v>270</v>
      </c>
      <c r="P832" s="17" t="s">
        <v>3395</v>
      </c>
      <c r="Q832" s="81" t="s">
        <v>10081</v>
      </c>
      <c r="R832" s="11">
        <v>26.171161000000001</v>
      </c>
      <c r="S832" s="11">
        <v>-81.199500999999998</v>
      </c>
      <c r="T832" s="11" t="s">
        <v>10082</v>
      </c>
      <c r="U832" s="11" t="s">
        <v>10083</v>
      </c>
      <c r="V832" s="17" t="s">
        <v>10084</v>
      </c>
      <c r="W832" s="17" t="s">
        <v>110</v>
      </c>
      <c r="X832" s="70"/>
      <c r="Y832" s="70"/>
      <c r="Z832" s="13">
        <v>27646</v>
      </c>
      <c r="AA832" s="13"/>
      <c r="AB832" s="13"/>
      <c r="AC832" s="13"/>
      <c r="AD832" s="86"/>
      <c r="AE832" s="70"/>
      <c r="AF832" s="70" t="s">
        <v>207</v>
      </c>
      <c r="AG832" s="14" t="s">
        <v>207</v>
      </c>
      <c r="AH832" s="14" t="s">
        <v>207</v>
      </c>
      <c r="AI832" s="70" t="s">
        <v>207</v>
      </c>
      <c r="AJ832" s="14" t="s">
        <v>207</v>
      </c>
      <c r="AK832" s="14" t="s">
        <v>207</v>
      </c>
      <c r="AL832" s="14" t="s">
        <v>207</v>
      </c>
      <c r="AM832" s="14" t="s">
        <v>207</v>
      </c>
      <c r="AN832" s="14" t="s">
        <v>207</v>
      </c>
      <c r="AO832" s="14" t="s">
        <v>207</v>
      </c>
      <c r="AP832" s="14" t="s">
        <v>207</v>
      </c>
      <c r="AQ832" s="14" t="s">
        <v>207</v>
      </c>
      <c r="AR832" s="14" t="s">
        <v>207</v>
      </c>
      <c r="AS832" s="14" t="s">
        <v>207</v>
      </c>
      <c r="AT832" s="14" t="s">
        <v>207</v>
      </c>
      <c r="AU832" s="30" t="s">
        <v>10085</v>
      </c>
      <c r="AV832" s="14" t="s">
        <v>207</v>
      </c>
      <c r="AW832" s="74"/>
      <c r="AX832" s="1"/>
      <c r="AY832" s="17" t="s">
        <v>101</v>
      </c>
    </row>
    <row r="833" spans="1:51" ht="12.75" customHeight="1" x14ac:dyDescent="0.25">
      <c r="A833" s="5">
        <v>798</v>
      </c>
      <c r="B833" s="9">
        <v>798</v>
      </c>
      <c r="C833" s="9" t="s">
        <v>10086</v>
      </c>
      <c r="D833" s="57" t="str">
        <f>HYPERLINK("http://prodenv.dep.state.fl.us/DepNexus/public/electronic-documents/OG_798/facility!search","OG_798_Docs")</f>
        <v>OG_798_Docs</v>
      </c>
      <c r="E833" s="57" t="str">
        <f>HYPERLINK("https://ca.dep.state.fl.us/mapdirect/?focus=oilandgas&amp;zoom=query&amp;querytype=oilandgas&amp;queryvalues=OG_798","OG_798_Map")</f>
        <v>OG_798_Map</v>
      </c>
      <c r="F833" s="1" t="s">
        <v>265</v>
      </c>
      <c r="G833" s="1" t="s">
        <v>79</v>
      </c>
      <c r="H833" s="1" t="s">
        <v>8261</v>
      </c>
      <c r="I833" s="1" t="s">
        <v>10087</v>
      </c>
      <c r="J833" s="17" t="s">
        <v>207</v>
      </c>
      <c r="K833" s="17" t="s">
        <v>208</v>
      </c>
      <c r="L833" s="17"/>
      <c r="M833" s="17" t="s">
        <v>207</v>
      </c>
      <c r="N833" s="52" t="s">
        <v>86</v>
      </c>
      <c r="O833" s="17" t="s">
        <v>270</v>
      </c>
      <c r="P833" s="17" t="s">
        <v>3395</v>
      </c>
      <c r="Q833" s="81" t="s">
        <v>10088</v>
      </c>
      <c r="R833" s="11">
        <v>26.168986</v>
      </c>
      <c r="S833" s="11">
        <v>-81.233041999999998</v>
      </c>
      <c r="T833" s="11" t="s">
        <v>10089</v>
      </c>
      <c r="U833" s="11" t="s">
        <v>10090</v>
      </c>
      <c r="V833" s="17" t="s">
        <v>10091</v>
      </c>
      <c r="W833" s="17"/>
      <c r="X833" s="70"/>
      <c r="Y833" s="70"/>
      <c r="Z833" s="13">
        <v>27646</v>
      </c>
      <c r="AA833" s="13"/>
      <c r="AB833" s="13"/>
      <c r="AC833" s="13"/>
      <c r="AD833" s="86"/>
      <c r="AE833" s="70"/>
      <c r="AF833" s="70" t="s">
        <v>207</v>
      </c>
      <c r="AG833" s="14" t="s">
        <v>207</v>
      </c>
      <c r="AH833" s="14" t="s">
        <v>207</v>
      </c>
      <c r="AI833" s="70" t="s">
        <v>207</v>
      </c>
      <c r="AJ833" s="14" t="s">
        <v>207</v>
      </c>
      <c r="AK833" s="14" t="s">
        <v>207</v>
      </c>
      <c r="AL833" s="14" t="s">
        <v>207</v>
      </c>
      <c r="AM833" s="14" t="s">
        <v>207</v>
      </c>
      <c r="AN833" s="14" t="s">
        <v>207</v>
      </c>
      <c r="AO833" s="14" t="s">
        <v>207</v>
      </c>
      <c r="AP833" s="14" t="s">
        <v>207</v>
      </c>
      <c r="AQ833" s="14" t="s">
        <v>207</v>
      </c>
      <c r="AR833" s="14" t="s">
        <v>207</v>
      </c>
      <c r="AS833" s="14" t="s">
        <v>207</v>
      </c>
      <c r="AT833" s="14" t="s">
        <v>207</v>
      </c>
      <c r="AU833" s="30" t="s">
        <v>10092</v>
      </c>
      <c r="AV833" s="14" t="s">
        <v>207</v>
      </c>
      <c r="AW833" s="74"/>
      <c r="AX833" s="1"/>
      <c r="AY833" s="17" t="s">
        <v>101</v>
      </c>
    </row>
    <row r="834" spans="1:51" ht="12.75" customHeight="1" x14ac:dyDescent="0.25">
      <c r="A834" s="5">
        <v>799</v>
      </c>
      <c r="B834" s="9">
        <v>799</v>
      </c>
      <c r="C834" s="9" t="s">
        <v>10093</v>
      </c>
      <c r="D834" s="57" t="str">
        <f>HYPERLINK("http://prodenv.dep.state.fl.us/DepNexus/public/electronic-documents/OG_799/facility!search","OG_799_Docs")</f>
        <v>OG_799_Docs</v>
      </c>
      <c r="E834" s="57" t="str">
        <f>HYPERLINK("https://ca.dep.state.fl.us/mapdirect/?focus=oilandgas&amp;zoom=query&amp;querytype=oilandgas&amp;queryvalues=OG_799","OG_799_Map")</f>
        <v>OG_799_Map</v>
      </c>
      <c r="F834" s="1" t="s">
        <v>265</v>
      </c>
      <c r="G834" s="1" t="s">
        <v>79</v>
      </c>
      <c r="H834" s="1" t="s">
        <v>8261</v>
      </c>
      <c r="I834" s="1" t="s">
        <v>10094</v>
      </c>
      <c r="J834" s="17" t="s">
        <v>82</v>
      </c>
      <c r="K834" s="17" t="s">
        <v>83</v>
      </c>
      <c r="L834" s="17"/>
      <c r="M834" s="17"/>
      <c r="N834" s="52" t="s">
        <v>86</v>
      </c>
      <c r="O834" s="17" t="s">
        <v>270</v>
      </c>
      <c r="P834" s="17" t="s">
        <v>3395</v>
      </c>
      <c r="Q834" s="81" t="s">
        <v>10095</v>
      </c>
      <c r="R834" s="11">
        <v>26.170089999999998</v>
      </c>
      <c r="S834" s="11">
        <v>-81.206993999999995</v>
      </c>
      <c r="T834" s="11" t="s">
        <v>10096</v>
      </c>
      <c r="U834" s="11" t="s">
        <v>10097</v>
      </c>
      <c r="V834" s="17" t="s">
        <v>10098</v>
      </c>
      <c r="W834" s="17" t="s">
        <v>110</v>
      </c>
      <c r="X834" s="70">
        <v>39</v>
      </c>
      <c r="Y834" s="70"/>
      <c r="Z834" s="13">
        <v>27646</v>
      </c>
      <c r="AA834" s="13">
        <v>27687</v>
      </c>
      <c r="AB834" s="13"/>
      <c r="AC834" s="13">
        <v>27722</v>
      </c>
      <c r="AD834" s="86">
        <v>11880</v>
      </c>
      <c r="AE834" s="86">
        <v>11880</v>
      </c>
      <c r="AF834" s="70" t="s">
        <v>10099</v>
      </c>
      <c r="AG834" s="17" t="s">
        <v>10100</v>
      </c>
      <c r="AH834" s="17" t="s">
        <v>10101</v>
      </c>
      <c r="AI834" s="70" t="s">
        <v>94</v>
      </c>
      <c r="AJ834" s="17" t="s">
        <v>94</v>
      </c>
      <c r="AK834" s="17" t="s">
        <v>95</v>
      </c>
      <c r="AL834" s="17" t="s">
        <v>10102</v>
      </c>
      <c r="AM834" s="17" t="s">
        <v>825</v>
      </c>
      <c r="AN834" s="17" t="s">
        <v>86</v>
      </c>
      <c r="AO834" s="17" t="s">
        <v>98</v>
      </c>
      <c r="AP834" s="17" t="s">
        <v>98</v>
      </c>
      <c r="AQ834" s="17" t="s">
        <v>98</v>
      </c>
      <c r="AR834" s="17" t="s">
        <v>94</v>
      </c>
      <c r="AS834" s="17" t="s">
        <v>10103</v>
      </c>
      <c r="AT834" s="17">
        <v>182</v>
      </c>
      <c r="AU834" s="30" t="s">
        <v>10104</v>
      </c>
      <c r="AV834" s="14">
        <v>12994</v>
      </c>
      <c r="AW834" s="74"/>
      <c r="AX834" s="1"/>
      <c r="AY834" s="17" t="s">
        <v>101</v>
      </c>
    </row>
    <row r="835" spans="1:51" ht="12.75" customHeight="1" x14ac:dyDescent="0.25">
      <c r="A835" s="5">
        <v>800</v>
      </c>
      <c r="B835" s="9">
        <v>800</v>
      </c>
      <c r="C835" s="9" t="s">
        <v>10105</v>
      </c>
      <c r="D835" s="57" t="str">
        <f>HYPERLINK("http://prodenv.dep.state.fl.us/DepNexus/public/electronic-documents/OG_800/facility!search","OG_800_Docs")</f>
        <v>OG_800_Docs</v>
      </c>
      <c r="E835" s="57" t="str">
        <f>HYPERLINK("https://ca.dep.state.fl.us/mapdirect/?focus=oilandgas&amp;zoom=query&amp;querytype=oilandgas&amp;queryvalues=OG_800","OG_800_Map")</f>
        <v>OG_800_Map</v>
      </c>
      <c r="F835" s="1" t="s">
        <v>265</v>
      </c>
      <c r="G835" s="1" t="s">
        <v>7239</v>
      </c>
      <c r="H835" s="1" t="s">
        <v>1363</v>
      </c>
      <c r="I835" s="1" t="s">
        <v>10106</v>
      </c>
      <c r="J835" s="17" t="s">
        <v>3646</v>
      </c>
      <c r="K835" s="17" t="s">
        <v>412</v>
      </c>
      <c r="L835" s="17"/>
      <c r="M835" s="17"/>
      <c r="N835" s="52" t="s">
        <v>9584</v>
      </c>
      <c r="O835" s="17" t="s">
        <v>270</v>
      </c>
      <c r="P835" s="17" t="s">
        <v>3395</v>
      </c>
      <c r="Q835" s="81" t="s">
        <v>9365</v>
      </c>
      <c r="R835" s="11">
        <v>26.248328999999998</v>
      </c>
      <c r="S835" s="11">
        <v>-81.296130000000005</v>
      </c>
      <c r="T835" s="11" t="s">
        <v>10107</v>
      </c>
      <c r="U835" s="11" t="s">
        <v>10108</v>
      </c>
      <c r="V835" s="17" t="s">
        <v>10109</v>
      </c>
      <c r="W835" s="17" t="s">
        <v>10110</v>
      </c>
      <c r="X835" s="70">
        <v>33.4</v>
      </c>
      <c r="Y835" s="70">
        <v>17.899999999999999</v>
      </c>
      <c r="Z835" s="13">
        <v>27646</v>
      </c>
      <c r="AA835" s="13">
        <v>27841</v>
      </c>
      <c r="AB835" s="13">
        <v>27982</v>
      </c>
      <c r="AC835" s="13"/>
      <c r="AD835" s="86">
        <v>11678</v>
      </c>
      <c r="AE835" s="86">
        <v>12158</v>
      </c>
      <c r="AF835" s="70" t="s">
        <v>6399</v>
      </c>
      <c r="AG835" s="17" t="s">
        <v>10111</v>
      </c>
      <c r="AH835" s="17" t="s">
        <v>10112</v>
      </c>
      <c r="AI835" s="70" t="s">
        <v>10113</v>
      </c>
      <c r="AJ835" s="17" t="s">
        <v>10114</v>
      </c>
      <c r="AK835" s="17" t="s">
        <v>95</v>
      </c>
      <c r="AL835" s="17" t="s">
        <v>10115</v>
      </c>
      <c r="AM835" s="17" t="s">
        <v>95</v>
      </c>
      <c r="AN835" s="17" t="s">
        <v>94</v>
      </c>
      <c r="AO835" s="17" t="s">
        <v>5040</v>
      </c>
      <c r="AP835" s="17" t="s">
        <v>4176</v>
      </c>
      <c r="AQ835" s="17" t="s">
        <v>6312</v>
      </c>
      <c r="AR835" s="17" t="s">
        <v>10116</v>
      </c>
      <c r="AS835" s="17"/>
      <c r="AT835" s="17"/>
      <c r="AU835" s="30" t="s">
        <v>10117</v>
      </c>
      <c r="AV835" s="14">
        <v>13244</v>
      </c>
      <c r="AW835" s="74">
        <v>306469</v>
      </c>
      <c r="AX835" s="1"/>
      <c r="AY835" s="17" t="s">
        <v>101</v>
      </c>
    </row>
    <row r="836" spans="1:51" ht="12.75" customHeight="1" x14ac:dyDescent="0.25">
      <c r="A836" s="5">
        <v>801</v>
      </c>
      <c r="B836" s="9">
        <v>801</v>
      </c>
      <c r="C836" s="9" t="s">
        <v>10118</v>
      </c>
      <c r="D836" s="57" t="str">
        <f>HYPERLINK("http://prodenv.dep.state.fl.us/DepNexus/public/electronic-documents/OG_801/facility!search","OG_801_Docs")</f>
        <v>OG_801_Docs</v>
      </c>
      <c r="E836" s="57" t="str">
        <f>HYPERLINK("https://ca.dep.state.fl.us/mapdirect/?focus=oilandgas&amp;zoom=query&amp;querytype=oilandgas&amp;queryvalues=OG_801","OG_801_Map")</f>
        <v>OG_801_Map</v>
      </c>
      <c r="F836" s="1" t="s">
        <v>265</v>
      </c>
      <c r="G836" s="1" t="s">
        <v>7239</v>
      </c>
      <c r="H836" s="1" t="s">
        <v>8318</v>
      </c>
      <c r="I836" s="1" t="s">
        <v>10119</v>
      </c>
      <c r="J836" s="17" t="s">
        <v>268</v>
      </c>
      <c r="K836" s="17" t="s">
        <v>412</v>
      </c>
      <c r="L836" s="17"/>
      <c r="M836" s="17"/>
      <c r="N836" s="52" t="s">
        <v>6529</v>
      </c>
      <c r="O836" s="17" t="s">
        <v>270</v>
      </c>
      <c r="P836" s="17" t="s">
        <v>3395</v>
      </c>
      <c r="Q836" s="81" t="s">
        <v>10120</v>
      </c>
      <c r="R836" s="11">
        <v>26.248411999999998</v>
      </c>
      <c r="S836" s="11">
        <v>-81.304440999999997</v>
      </c>
      <c r="T836" s="11" t="s">
        <v>10121</v>
      </c>
      <c r="U836" s="11" t="s">
        <v>10122</v>
      </c>
      <c r="V836" s="17" t="s">
        <v>10123</v>
      </c>
      <c r="W836" s="17" t="s">
        <v>110</v>
      </c>
      <c r="X836" s="70">
        <v>34.299999999999997</v>
      </c>
      <c r="Y836" s="70">
        <v>18.8</v>
      </c>
      <c r="Z836" s="13">
        <v>27676</v>
      </c>
      <c r="AA836" s="13">
        <v>28004</v>
      </c>
      <c r="AB836" s="13">
        <v>28091</v>
      </c>
      <c r="AC836" s="13">
        <v>37323</v>
      </c>
      <c r="AD836" s="86">
        <v>11608</v>
      </c>
      <c r="AE836" s="86">
        <v>11608</v>
      </c>
      <c r="AF836" s="70" t="s">
        <v>10124</v>
      </c>
      <c r="AG836" s="17" t="s">
        <v>10125</v>
      </c>
      <c r="AH836" s="17" t="s">
        <v>9676</v>
      </c>
      <c r="AI836" s="70" t="s">
        <v>10126</v>
      </c>
      <c r="AJ836" s="17" t="s">
        <v>10127</v>
      </c>
      <c r="AK836" s="17" t="s">
        <v>95</v>
      </c>
      <c r="AL836" s="17" t="s">
        <v>10128</v>
      </c>
      <c r="AM836" s="17" t="s">
        <v>95</v>
      </c>
      <c r="AN836" s="17" t="s">
        <v>94</v>
      </c>
      <c r="AO836" s="17" t="s">
        <v>10129</v>
      </c>
      <c r="AP836" s="17" t="s">
        <v>4176</v>
      </c>
      <c r="AQ836" s="17" t="s">
        <v>10130</v>
      </c>
      <c r="AR836" s="17" t="s">
        <v>5698</v>
      </c>
      <c r="AS836" s="17" t="s">
        <v>10131</v>
      </c>
      <c r="AT836" s="17"/>
      <c r="AU836" s="30" t="s">
        <v>10132</v>
      </c>
      <c r="AV836" s="14">
        <v>13485</v>
      </c>
      <c r="AW836" s="74"/>
      <c r="AX836" s="1"/>
      <c r="AY836" s="17" t="s">
        <v>101</v>
      </c>
    </row>
    <row r="837" spans="1:51" ht="15" customHeight="1" x14ac:dyDescent="0.25">
      <c r="A837" s="5">
        <v>802</v>
      </c>
      <c r="B837" s="9">
        <v>802</v>
      </c>
      <c r="C837" s="9" t="s">
        <v>10133</v>
      </c>
      <c r="D837" s="57" t="str">
        <f>HYPERLINK("http://prodenv.dep.state.fl.us/DepNexus/public/electronic-documents/OG_802/facility!search","OG_802_Docs")</f>
        <v>OG_802_Docs</v>
      </c>
      <c r="E837" s="57" t="str">
        <f>HYPERLINK("https://ca.dep.state.fl.us/mapdirect/?focus=oilandgas&amp;zoom=query&amp;querytype=oilandgas&amp;queryvalues=OG_802","OG_802_Map")</f>
        <v>OG_802_Map</v>
      </c>
      <c r="F837" s="1" t="s">
        <v>265</v>
      </c>
      <c r="G837" s="1" t="s">
        <v>7239</v>
      </c>
      <c r="H837" s="1" t="s">
        <v>8261</v>
      </c>
      <c r="I837" s="1" t="s">
        <v>10134</v>
      </c>
      <c r="J837" s="17" t="s">
        <v>268</v>
      </c>
      <c r="K837" s="17" t="s">
        <v>412</v>
      </c>
      <c r="L837" s="17"/>
      <c r="M837" s="17"/>
      <c r="N837" s="52" t="s">
        <v>7568</v>
      </c>
      <c r="O837" s="17" t="s">
        <v>270</v>
      </c>
      <c r="P837" s="17" t="s">
        <v>86</v>
      </c>
      <c r="Q837" s="81" t="s">
        <v>10135</v>
      </c>
      <c r="R837" s="11">
        <v>26.247398</v>
      </c>
      <c r="S837" s="11">
        <v>-81.361754000000005</v>
      </c>
      <c r="T837" s="11" t="s">
        <v>10136</v>
      </c>
      <c r="U837" s="11" t="s">
        <v>10137</v>
      </c>
      <c r="V837" s="17" t="s">
        <v>10138</v>
      </c>
      <c r="W837" s="17" t="s">
        <v>110</v>
      </c>
      <c r="X837" s="70">
        <v>33.299999999999997</v>
      </c>
      <c r="Y837" s="70">
        <v>18.399999999999999</v>
      </c>
      <c r="Z837" s="13">
        <v>27646</v>
      </c>
      <c r="AA837" s="13">
        <v>27731</v>
      </c>
      <c r="AB837" s="13">
        <v>27926</v>
      </c>
      <c r="AC837" s="13">
        <v>33252</v>
      </c>
      <c r="AD837" s="86">
        <v>11612</v>
      </c>
      <c r="AE837" s="86">
        <v>11612</v>
      </c>
      <c r="AF837" s="70" t="s">
        <v>9908</v>
      </c>
      <c r="AG837" s="17" t="s">
        <v>9396</v>
      </c>
      <c r="AH837" s="17" t="s">
        <v>9909</v>
      </c>
      <c r="AI837" s="70" t="s">
        <v>10139</v>
      </c>
      <c r="AJ837" s="17" t="s">
        <v>10140</v>
      </c>
      <c r="AK837" s="17"/>
      <c r="AL837" s="17" t="s">
        <v>10141</v>
      </c>
      <c r="AM837" s="17" t="s">
        <v>95</v>
      </c>
      <c r="AN837" s="17" t="s">
        <v>94</v>
      </c>
      <c r="AO837" s="17" t="s">
        <v>10142</v>
      </c>
      <c r="AP837" s="17" t="s">
        <v>4176</v>
      </c>
      <c r="AQ837" s="17" t="s">
        <v>10143</v>
      </c>
      <c r="AR837" s="17" t="s">
        <v>10144</v>
      </c>
      <c r="AS837" s="17" t="s">
        <v>10145</v>
      </c>
      <c r="AT837" s="17"/>
      <c r="AU837" s="30" t="s">
        <v>10146</v>
      </c>
      <c r="AV837" s="14">
        <v>12958</v>
      </c>
      <c r="AW837" s="74"/>
      <c r="AX837" s="1"/>
      <c r="AY837" s="17" t="s">
        <v>101</v>
      </c>
    </row>
    <row r="838" spans="1:51" ht="15" customHeight="1" x14ac:dyDescent="0.25">
      <c r="A838" s="5">
        <v>803</v>
      </c>
      <c r="B838" s="9">
        <v>803</v>
      </c>
      <c r="C838" s="9" t="s">
        <v>10147</v>
      </c>
      <c r="D838" s="57" t="str">
        <f>HYPERLINK("http://prodenv.dep.state.fl.us/DepNexus/public/electronic-documents/OG_803/facility!search","OG_803_Docs")</f>
        <v>OG_803_Docs</v>
      </c>
      <c r="E838" s="57" t="str">
        <f>HYPERLINK("https://ca.dep.state.fl.us/mapdirect/?focus=oilandgas&amp;zoom=query&amp;querytype=oilandgas&amp;queryvalues=OG_803","OG_803_Map")</f>
        <v>OG_803_Map</v>
      </c>
      <c r="F838" s="1" t="s">
        <v>265</v>
      </c>
      <c r="G838" s="1" t="s">
        <v>79</v>
      </c>
      <c r="H838" s="1" t="s">
        <v>9855</v>
      </c>
      <c r="I838" s="1" t="s">
        <v>10148</v>
      </c>
      <c r="J838" s="17" t="s">
        <v>82</v>
      </c>
      <c r="K838" s="17" t="s">
        <v>83</v>
      </c>
      <c r="L838" s="17"/>
      <c r="M838" s="17"/>
      <c r="N838" s="52" t="s">
        <v>6529</v>
      </c>
      <c r="O838" s="17" t="s">
        <v>270</v>
      </c>
      <c r="P838" s="17" t="s">
        <v>3395</v>
      </c>
      <c r="Q838" s="81" t="s">
        <v>10149</v>
      </c>
      <c r="R838" s="11">
        <v>25.975812000000001</v>
      </c>
      <c r="S838" s="11">
        <v>-81.241365999999999</v>
      </c>
      <c r="T838" s="11" t="s">
        <v>10150</v>
      </c>
      <c r="U838" s="11" t="s">
        <v>10151</v>
      </c>
      <c r="V838" s="17" t="s">
        <v>10152</v>
      </c>
      <c r="W838" s="17" t="s">
        <v>110</v>
      </c>
      <c r="X838" s="70"/>
      <c r="Y838" s="70"/>
      <c r="Z838" s="13">
        <v>27646</v>
      </c>
      <c r="AA838" s="13">
        <v>27678</v>
      </c>
      <c r="AB838" s="13"/>
      <c r="AC838" s="13">
        <v>27735</v>
      </c>
      <c r="AD838" s="86">
        <v>13255</v>
      </c>
      <c r="AE838" s="86">
        <v>13255</v>
      </c>
      <c r="AF838" s="70" t="s">
        <v>10153</v>
      </c>
      <c r="AG838" s="17" t="s">
        <v>10154</v>
      </c>
      <c r="AH838" s="17" t="s">
        <v>10155</v>
      </c>
      <c r="AI838" s="70" t="s">
        <v>94</v>
      </c>
      <c r="AJ838" s="17" t="s">
        <v>94</v>
      </c>
      <c r="AK838" s="17" t="s">
        <v>95</v>
      </c>
      <c r="AL838" s="17" t="s">
        <v>10156</v>
      </c>
      <c r="AM838" s="17" t="s">
        <v>95</v>
      </c>
      <c r="AN838" s="17" t="s">
        <v>94</v>
      </c>
      <c r="AO838" s="17" t="s">
        <v>98</v>
      </c>
      <c r="AP838" s="17" t="s">
        <v>98</v>
      </c>
      <c r="AQ838" s="17" t="s">
        <v>98</v>
      </c>
      <c r="AR838" s="17" t="s">
        <v>94</v>
      </c>
      <c r="AS838" s="17" t="s">
        <v>10157</v>
      </c>
      <c r="AT838" s="17"/>
      <c r="AU838" s="30" t="s">
        <v>10158</v>
      </c>
      <c r="AV838" s="14">
        <v>12957</v>
      </c>
      <c r="AW838" s="74"/>
      <c r="AX838" s="1"/>
      <c r="AY838" s="17" t="s">
        <v>101</v>
      </c>
    </row>
    <row r="839" spans="1:51" ht="15" customHeight="1" x14ac:dyDescent="0.25">
      <c r="A839" s="5">
        <v>804</v>
      </c>
      <c r="B839" s="9">
        <v>804</v>
      </c>
      <c r="C839" s="9" t="s">
        <v>10159</v>
      </c>
      <c r="D839" s="57" t="str">
        <f>HYPERLINK("http://prodenv.dep.state.fl.us/DepNexus/public/electronic-documents/OG_804/facility!search","OG_804_Docs")</f>
        <v>OG_804_Docs</v>
      </c>
      <c r="E839" s="57" t="str">
        <f>HYPERLINK("https://ca.dep.state.fl.us/mapdirect/?focus=oilandgas&amp;zoom=query&amp;querytype=oilandgas&amp;queryvalues=OG_804","OG_804_Map")</f>
        <v>OG_804_Map</v>
      </c>
      <c r="F839" s="1" t="s">
        <v>2026</v>
      </c>
      <c r="G839" s="1" t="s">
        <v>9085</v>
      </c>
      <c r="H839" s="1" t="s">
        <v>8261</v>
      </c>
      <c r="I839" s="1" t="s">
        <v>10160</v>
      </c>
      <c r="J839" s="17" t="s">
        <v>268</v>
      </c>
      <c r="K839" s="17" t="s">
        <v>412</v>
      </c>
      <c r="L839" s="17"/>
      <c r="M839" s="17"/>
      <c r="N839" s="52" t="s">
        <v>10161</v>
      </c>
      <c r="O839" s="17" t="s">
        <v>86</v>
      </c>
      <c r="P839" s="17" t="s">
        <v>86</v>
      </c>
      <c r="Q839" s="81" t="s">
        <v>10162</v>
      </c>
      <c r="R839" s="11">
        <v>26.630865</v>
      </c>
      <c r="S839" s="11">
        <v>-81.700209999999998</v>
      </c>
      <c r="T839" s="11" t="s">
        <v>10163</v>
      </c>
      <c r="U839" s="11" t="s">
        <v>10164</v>
      </c>
      <c r="V839" s="17" t="s">
        <v>10165</v>
      </c>
      <c r="W839" s="17" t="s">
        <v>10166</v>
      </c>
      <c r="X839" s="70">
        <v>36.5</v>
      </c>
      <c r="Y839" s="70">
        <v>22</v>
      </c>
      <c r="Z839" s="13">
        <v>27667</v>
      </c>
      <c r="AA839" s="13">
        <v>27703</v>
      </c>
      <c r="AB839" s="13">
        <v>27814</v>
      </c>
      <c r="AC839" s="13">
        <v>33086</v>
      </c>
      <c r="AD839" s="86">
        <v>11475</v>
      </c>
      <c r="AE839" s="86">
        <v>12210</v>
      </c>
      <c r="AF839" s="70" t="s">
        <v>10167</v>
      </c>
      <c r="AG839" s="17" t="s">
        <v>9162</v>
      </c>
      <c r="AH839" s="17" t="s">
        <v>10168</v>
      </c>
      <c r="AI839" s="70" t="s">
        <v>10169</v>
      </c>
      <c r="AJ839" s="17" t="s">
        <v>10170</v>
      </c>
      <c r="AK839" s="17" t="s">
        <v>94</v>
      </c>
      <c r="AL839" s="17" t="s">
        <v>94</v>
      </c>
      <c r="AM839" s="17" t="s">
        <v>95</v>
      </c>
      <c r="AN839" s="17" t="s">
        <v>94</v>
      </c>
      <c r="AO839" s="17" t="s">
        <v>10171</v>
      </c>
      <c r="AP839" s="17" t="s">
        <v>10172</v>
      </c>
      <c r="AQ839" s="17" t="s">
        <v>10173</v>
      </c>
      <c r="AR839" s="17" t="s">
        <v>10174</v>
      </c>
      <c r="AS839" s="17" t="s">
        <v>10175</v>
      </c>
      <c r="AT839" s="17"/>
      <c r="AU839" s="30" t="s">
        <v>10176</v>
      </c>
      <c r="AV839" s="14" t="s">
        <v>94</v>
      </c>
      <c r="AW839" s="74"/>
      <c r="AX839" s="1"/>
      <c r="AY839" s="17" t="s">
        <v>101</v>
      </c>
    </row>
    <row r="840" spans="1:51" ht="12.75" customHeight="1" x14ac:dyDescent="0.25">
      <c r="A840" s="5">
        <v>805</v>
      </c>
      <c r="B840" s="9">
        <v>805</v>
      </c>
      <c r="C840" s="9" t="s">
        <v>10177</v>
      </c>
      <c r="D840" s="57" t="str">
        <f>HYPERLINK("http://prodenv.dep.state.fl.us/DepNexus/public/electronic-documents/OG_805/facility!search","OG_805_Docs")</f>
        <v>OG_805_Docs</v>
      </c>
      <c r="E840" s="57" t="str">
        <f>HYPERLINK("https://ca.dep.state.fl.us/mapdirect/?focus=oilandgas&amp;zoom=query&amp;querytype=oilandgas&amp;queryvalues=OG_805","OG_805_Map")</f>
        <v>OG_805_Map</v>
      </c>
      <c r="F840" s="1" t="s">
        <v>1797</v>
      </c>
      <c r="G840" s="1" t="s">
        <v>79</v>
      </c>
      <c r="H840" s="1" t="s">
        <v>8619</v>
      </c>
      <c r="I840" s="1" t="s">
        <v>10178</v>
      </c>
      <c r="J840" s="17" t="s">
        <v>82</v>
      </c>
      <c r="K840" s="17" t="s">
        <v>83</v>
      </c>
      <c r="L840" s="17"/>
      <c r="M840" s="17"/>
      <c r="N840" s="52" t="s">
        <v>9617</v>
      </c>
      <c r="O840" s="17" t="s">
        <v>86</v>
      </c>
      <c r="P840" s="17" t="s">
        <v>86</v>
      </c>
      <c r="Q840" s="81" t="s">
        <v>10179</v>
      </c>
      <c r="R840" s="11">
        <v>30.890163000000001</v>
      </c>
      <c r="S840" s="11">
        <v>-87.086629000000002</v>
      </c>
      <c r="T840" s="11" t="s">
        <v>10180</v>
      </c>
      <c r="U840" s="11" t="s">
        <v>10181</v>
      </c>
      <c r="V840" s="17" t="s">
        <v>10182</v>
      </c>
      <c r="W840" s="17" t="s">
        <v>110</v>
      </c>
      <c r="X840" s="70">
        <v>172.7</v>
      </c>
      <c r="Y840" s="70">
        <v>145.69999999999999</v>
      </c>
      <c r="Z840" s="13">
        <v>27667</v>
      </c>
      <c r="AA840" s="13">
        <v>27675</v>
      </c>
      <c r="AB840" s="13"/>
      <c r="AC840" s="13">
        <v>27738</v>
      </c>
      <c r="AD840" s="86">
        <v>15701</v>
      </c>
      <c r="AE840" s="86">
        <v>15701</v>
      </c>
      <c r="AF840" s="70" t="s">
        <v>10183</v>
      </c>
      <c r="AG840" s="17" t="s">
        <v>10184</v>
      </c>
      <c r="AH840" s="17" t="s">
        <v>94</v>
      </c>
      <c r="AI840" s="70" t="s">
        <v>94</v>
      </c>
      <c r="AJ840" s="17" t="s">
        <v>94</v>
      </c>
      <c r="AK840" s="17" t="s">
        <v>95</v>
      </c>
      <c r="AL840" s="17" t="s">
        <v>10185</v>
      </c>
      <c r="AM840" s="17" t="s">
        <v>825</v>
      </c>
      <c r="AN840" s="17" t="s">
        <v>94</v>
      </c>
      <c r="AO840" s="17" t="s">
        <v>98</v>
      </c>
      <c r="AP840" s="17" t="s">
        <v>98</v>
      </c>
      <c r="AQ840" s="17" t="s">
        <v>98</v>
      </c>
      <c r="AR840" s="17" t="s">
        <v>94</v>
      </c>
      <c r="AS840" s="17" t="s">
        <v>10186</v>
      </c>
      <c r="AT840" s="17"/>
      <c r="AU840" s="30" t="s">
        <v>10187</v>
      </c>
      <c r="AV840" s="14">
        <v>12905</v>
      </c>
      <c r="AW840" s="74"/>
      <c r="AX840" s="1"/>
      <c r="AY840" s="17" t="s">
        <v>101</v>
      </c>
    </row>
    <row r="841" spans="1:51" ht="15" customHeight="1" x14ac:dyDescent="0.25">
      <c r="A841" s="5">
        <v>806</v>
      </c>
      <c r="B841" s="9">
        <v>806</v>
      </c>
      <c r="C841" s="9" t="s">
        <v>10188</v>
      </c>
      <c r="D841" s="57" t="str">
        <f>HYPERLINK("http://prodenv.dep.state.fl.us/DepNexus/public/electronic-documents/OG_806/facility!search","OG_806_Docs")</f>
        <v>OG_806_Docs</v>
      </c>
      <c r="E841" s="57" t="str">
        <f>HYPERLINK("https://ca.dep.state.fl.us/mapdirect/?focus=oilandgas&amp;zoom=query&amp;querytype=oilandgas&amp;queryvalues=OG_806","OG_806_Map")</f>
        <v>OG_806_Map</v>
      </c>
      <c r="F841" s="1" t="s">
        <v>1752</v>
      </c>
      <c r="G841" s="1" t="s">
        <v>3668</v>
      </c>
      <c r="H841" s="1" t="s">
        <v>3669</v>
      </c>
      <c r="I841" s="1" t="s">
        <v>10189</v>
      </c>
      <c r="J841" s="17" t="s">
        <v>268</v>
      </c>
      <c r="K841" s="17" t="s">
        <v>412</v>
      </c>
      <c r="L841" s="17"/>
      <c r="M841" s="17"/>
      <c r="N841" s="52" t="s">
        <v>10042</v>
      </c>
      <c r="O841" s="17" t="s">
        <v>86</v>
      </c>
      <c r="P841" s="17" t="s">
        <v>86</v>
      </c>
      <c r="Q841" s="81" t="s">
        <v>3842</v>
      </c>
      <c r="R841" s="11">
        <v>26.535646</v>
      </c>
      <c r="S841" s="11">
        <v>-81.434894</v>
      </c>
      <c r="T841" s="11" t="s">
        <v>10190</v>
      </c>
      <c r="U841" s="11" t="s">
        <v>10191</v>
      </c>
      <c r="V841" s="17" t="s">
        <v>10192</v>
      </c>
      <c r="W841" s="17" t="s">
        <v>10193</v>
      </c>
      <c r="X841" s="70">
        <v>58</v>
      </c>
      <c r="Y841" s="70">
        <v>37</v>
      </c>
      <c r="Z841" s="13">
        <v>27688</v>
      </c>
      <c r="AA841" s="13">
        <v>27695</v>
      </c>
      <c r="AB841" s="13">
        <v>27735</v>
      </c>
      <c r="AC841" s="13">
        <v>33591</v>
      </c>
      <c r="AD841" s="86">
        <v>11600</v>
      </c>
      <c r="AE841" s="86">
        <v>11600</v>
      </c>
      <c r="AF841" s="70" t="s">
        <v>10194</v>
      </c>
      <c r="AG841" s="17" t="s">
        <v>10195</v>
      </c>
      <c r="AH841" s="17" t="s">
        <v>3925</v>
      </c>
      <c r="AI841" s="70" t="s">
        <v>10196</v>
      </c>
      <c r="AJ841" s="17" t="s">
        <v>10197</v>
      </c>
      <c r="AK841" s="17" t="s">
        <v>825</v>
      </c>
      <c r="AL841" s="17" t="s">
        <v>825</v>
      </c>
      <c r="AM841" s="17" t="s">
        <v>825</v>
      </c>
      <c r="AN841" s="17" t="s">
        <v>86</v>
      </c>
      <c r="AO841" s="17" t="s">
        <v>10198</v>
      </c>
      <c r="AP841" s="17" t="s">
        <v>10199</v>
      </c>
      <c r="AQ841" s="17" t="s">
        <v>10200</v>
      </c>
      <c r="AR841" s="17" t="s">
        <v>10201</v>
      </c>
      <c r="AS841" s="17" t="s">
        <v>10202</v>
      </c>
      <c r="AT841" s="17"/>
      <c r="AU841" s="30" t="s">
        <v>10203</v>
      </c>
      <c r="AV841" s="14" t="s">
        <v>94</v>
      </c>
      <c r="AW841" s="74"/>
      <c r="AX841" s="1"/>
      <c r="AY841" s="17" t="s">
        <v>101</v>
      </c>
    </row>
    <row r="842" spans="1:51" ht="12.75" customHeight="1" x14ac:dyDescent="0.25">
      <c r="A842" s="5">
        <v>807</v>
      </c>
      <c r="B842" s="9">
        <v>807</v>
      </c>
      <c r="C842" s="9" t="s">
        <v>10204</v>
      </c>
      <c r="D842" s="57" t="str">
        <f>HYPERLINK("http://prodenv.dep.state.fl.us/DepNexus/public/electronic-documents/OG_807/facility!search","OG_807_Docs")</f>
        <v>OG_807_Docs</v>
      </c>
      <c r="E842" s="57" t="str">
        <f>HYPERLINK("https://ca.dep.state.fl.us/mapdirect/?focus=oilandgas&amp;zoom=query&amp;querytype=oilandgas&amp;queryvalues=OG_807","OG_807_Map")</f>
        <v>OG_807_Map</v>
      </c>
      <c r="F842" s="1" t="s">
        <v>829</v>
      </c>
      <c r="G842" s="1" t="s">
        <v>79</v>
      </c>
      <c r="H842" s="1" t="s">
        <v>10205</v>
      </c>
      <c r="I842" s="1" t="s">
        <v>10206</v>
      </c>
      <c r="J842" s="17" t="s">
        <v>207</v>
      </c>
      <c r="K842" s="17" t="s">
        <v>208</v>
      </c>
      <c r="L842" s="17"/>
      <c r="M842" s="17" t="s">
        <v>207</v>
      </c>
      <c r="N842" s="52" t="s">
        <v>207</v>
      </c>
      <c r="O842" s="17" t="s">
        <v>86</v>
      </c>
      <c r="P842" s="17" t="s">
        <v>86</v>
      </c>
      <c r="Q842" s="81"/>
      <c r="R842" s="11">
        <v>30.394442000000002</v>
      </c>
      <c r="S842" s="11">
        <v>-86.406983999999994</v>
      </c>
      <c r="T842" s="11" t="s">
        <v>10207</v>
      </c>
      <c r="U842" s="11" t="s">
        <v>10208</v>
      </c>
      <c r="V842" s="17" t="s">
        <v>10209</v>
      </c>
      <c r="W842" s="17" t="s">
        <v>110</v>
      </c>
      <c r="X842" s="70"/>
      <c r="Y842" s="70"/>
      <c r="Z842" s="13">
        <v>27688</v>
      </c>
      <c r="AA842" s="13"/>
      <c r="AB842" s="13"/>
      <c r="AC842" s="13"/>
      <c r="AD842" s="86"/>
      <c r="AE842" s="86"/>
      <c r="AF842" s="70" t="s">
        <v>207</v>
      </c>
      <c r="AG842" s="17" t="s">
        <v>207</v>
      </c>
      <c r="AH842" s="17" t="s">
        <v>207</v>
      </c>
      <c r="AI842" s="70" t="s">
        <v>207</v>
      </c>
      <c r="AJ842" s="17" t="s">
        <v>207</v>
      </c>
      <c r="AK842" s="17" t="s">
        <v>207</v>
      </c>
      <c r="AL842" s="17" t="s">
        <v>207</v>
      </c>
      <c r="AM842" s="17" t="s">
        <v>207</v>
      </c>
      <c r="AN842" s="17" t="s">
        <v>207</v>
      </c>
      <c r="AO842" s="17" t="s">
        <v>207</v>
      </c>
      <c r="AP842" s="17" t="s">
        <v>207</v>
      </c>
      <c r="AQ842" s="17" t="s">
        <v>207</v>
      </c>
      <c r="AR842" s="17" t="s">
        <v>207</v>
      </c>
      <c r="AS842" s="17" t="s">
        <v>207</v>
      </c>
      <c r="AT842" s="17" t="s">
        <v>207</v>
      </c>
      <c r="AU842" s="30" t="s">
        <v>10210</v>
      </c>
      <c r="AV842" s="14" t="s">
        <v>98</v>
      </c>
      <c r="AW842" s="74"/>
      <c r="AX842" s="1" t="s">
        <v>10211</v>
      </c>
      <c r="AY842" s="17" t="s">
        <v>101</v>
      </c>
    </row>
    <row r="843" spans="1:51" ht="15" customHeight="1" x14ac:dyDescent="0.25">
      <c r="A843" s="5">
        <v>808</v>
      </c>
      <c r="B843" s="9">
        <v>808</v>
      </c>
      <c r="C843" s="9" t="s">
        <v>10212</v>
      </c>
      <c r="D843" s="57" t="str">
        <f>HYPERLINK("http://prodenv.dep.state.fl.us/DepNexus/public/electronic-documents/OG_808/facility!search","OG_808_Docs")</f>
        <v>OG_808_Docs</v>
      </c>
      <c r="E843" s="57" t="str">
        <f>HYPERLINK("https://ca.dep.state.fl.us/mapdirect/?focus=oilandgas&amp;zoom=query&amp;querytype=oilandgas&amp;queryvalues=OG_808","OG_808_Map")</f>
        <v>OG_808_Map</v>
      </c>
      <c r="F843" s="1" t="s">
        <v>1797</v>
      </c>
      <c r="G843" s="1" t="s">
        <v>5133</v>
      </c>
      <c r="H843" s="1" t="s">
        <v>1363</v>
      </c>
      <c r="I843" s="1" t="s">
        <v>10213</v>
      </c>
      <c r="J843" s="17" t="s">
        <v>1365</v>
      </c>
      <c r="K843" s="17" t="s">
        <v>6189</v>
      </c>
      <c r="L843" s="17"/>
      <c r="M843" s="17"/>
      <c r="N843" s="52" t="s">
        <v>4802</v>
      </c>
      <c r="O843" s="17" t="s">
        <v>86</v>
      </c>
      <c r="P843" s="17" t="s">
        <v>86</v>
      </c>
      <c r="Q843" s="81" t="s">
        <v>6364</v>
      </c>
      <c r="R843" s="11">
        <v>30.963508999999998</v>
      </c>
      <c r="S843" s="11">
        <v>-87.182969999999997</v>
      </c>
      <c r="T843" s="11" t="s">
        <v>10214</v>
      </c>
      <c r="U843" s="11" t="s">
        <v>10215</v>
      </c>
      <c r="V843" s="17" t="s">
        <v>10216</v>
      </c>
      <c r="W843" s="17" t="s">
        <v>110</v>
      </c>
      <c r="X843" s="70">
        <v>181.4</v>
      </c>
      <c r="Y843" s="70">
        <v>155.30000000000001</v>
      </c>
      <c r="Z843" s="13">
        <v>27730</v>
      </c>
      <c r="AA843" s="13">
        <v>28201</v>
      </c>
      <c r="AB843" s="13"/>
      <c r="AC843" s="13"/>
      <c r="AD843" s="86">
        <v>6600</v>
      </c>
      <c r="AE843" s="86">
        <v>6600</v>
      </c>
      <c r="AF843" s="70" t="s">
        <v>10217</v>
      </c>
      <c r="AG843" s="17" t="s">
        <v>10218</v>
      </c>
      <c r="AH843" s="17" t="s">
        <v>94</v>
      </c>
      <c r="AI843" s="70" t="s">
        <v>10219</v>
      </c>
      <c r="AJ843" s="17" t="s">
        <v>9878</v>
      </c>
      <c r="AK843" s="17" t="s">
        <v>94</v>
      </c>
      <c r="AL843" s="17" t="s">
        <v>94</v>
      </c>
      <c r="AM843" s="17" t="s">
        <v>94</v>
      </c>
      <c r="AN843" s="17" t="s">
        <v>94</v>
      </c>
      <c r="AO843" s="17" t="s">
        <v>94</v>
      </c>
      <c r="AP843" s="17" t="s">
        <v>94</v>
      </c>
      <c r="AQ843" s="17" t="s">
        <v>94</v>
      </c>
      <c r="AR843" s="17" t="s">
        <v>10220</v>
      </c>
      <c r="AS843" s="17"/>
      <c r="AT843" s="17"/>
      <c r="AU843" s="30" t="s">
        <v>10221</v>
      </c>
      <c r="AV843" s="14" t="s">
        <v>94</v>
      </c>
      <c r="AW843" s="74">
        <v>311601</v>
      </c>
      <c r="AX843" s="1" t="s">
        <v>10222</v>
      </c>
      <c r="AY843" s="17" t="s">
        <v>101</v>
      </c>
    </row>
    <row r="844" spans="1:51" ht="15" customHeight="1" x14ac:dyDescent="0.25">
      <c r="A844" s="5">
        <v>809</v>
      </c>
      <c r="B844" s="9">
        <v>809</v>
      </c>
      <c r="C844" s="9" t="s">
        <v>10223</v>
      </c>
      <c r="D844" s="57" t="str">
        <f>HYPERLINK("http://prodenv.dep.state.fl.us/DepNexus/public/electronic-documents/OG_809/facility!search","OG_809_Docs")</f>
        <v>OG_809_Docs</v>
      </c>
      <c r="E844" s="57" t="str">
        <f>HYPERLINK("https://ca.dep.state.fl.us/mapdirect/?focus=oilandgas&amp;zoom=query&amp;querytype=oilandgas&amp;queryvalues=OG_809","OG_809_Map")</f>
        <v>OG_809_Map</v>
      </c>
      <c r="F844" s="1" t="s">
        <v>1752</v>
      </c>
      <c r="G844" s="1" t="s">
        <v>3668</v>
      </c>
      <c r="H844" s="1" t="s">
        <v>3669</v>
      </c>
      <c r="I844" s="1" t="s">
        <v>10224</v>
      </c>
      <c r="J844" s="17" t="s">
        <v>268</v>
      </c>
      <c r="K844" s="17" t="s">
        <v>412</v>
      </c>
      <c r="L844" s="17"/>
      <c r="M844" s="17"/>
      <c r="N844" s="52" t="s">
        <v>6529</v>
      </c>
      <c r="O844" s="17" t="s">
        <v>86</v>
      </c>
      <c r="P844" s="17" t="s">
        <v>86</v>
      </c>
      <c r="Q844" s="81" t="s">
        <v>3842</v>
      </c>
      <c r="R844" s="11">
        <v>26.530396</v>
      </c>
      <c r="S844" s="11">
        <v>-81.442184999999995</v>
      </c>
      <c r="T844" s="11" t="s">
        <v>10225</v>
      </c>
      <c r="U844" s="11" t="s">
        <v>10226</v>
      </c>
      <c r="V844" s="17" t="s">
        <v>10227</v>
      </c>
      <c r="W844" s="17" t="s">
        <v>110</v>
      </c>
      <c r="X844" s="70">
        <v>52</v>
      </c>
      <c r="Y844" s="70">
        <v>36</v>
      </c>
      <c r="Z844" s="13">
        <v>27716</v>
      </c>
      <c r="AA844" s="13">
        <v>29266</v>
      </c>
      <c r="AB844" s="13">
        <v>29308</v>
      </c>
      <c r="AC844" s="13">
        <v>34038</v>
      </c>
      <c r="AD844" s="86">
        <v>11590</v>
      </c>
      <c r="AE844" s="86">
        <v>11590</v>
      </c>
      <c r="AF844" s="70" t="s">
        <v>5255</v>
      </c>
      <c r="AG844" s="17" t="s">
        <v>5387</v>
      </c>
      <c r="AH844" s="17" t="s">
        <v>10228</v>
      </c>
      <c r="AI844" s="70" t="s">
        <v>10229</v>
      </c>
      <c r="AJ844" s="17" t="s">
        <v>10230</v>
      </c>
      <c r="AK844" s="17" t="s">
        <v>825</v>
      </c>
      <c r="AL844" s="17" t="s">
        <v>86</v>
      </c>
      <c r="AM844" s="17" t="s">
        <v>94</v>
      </c>
      <c r="AN844" s="17" t="s">
        <v>86</v>
      </c>
      <c r="AO844" s="17" t="s">
        <v>10231</v>
      </c>
      <c r="AP844" s="17" t="s">
        <v>4785</v>
      </c>
      <c r="AQ844" s="17" t="s">
        <v>10232</v>
      </c>
      <c r="AR844" s="17" t="s">
        <v>10233</v>
      </c>
      <c r="AS844" s="17" t="s">
        <v>10234</v>
      </c>
      <c r="AT844" s="17"/>
      <c r="AU844" s="30" t="s">
        <v>10235</v>
      </c>
      <c r="AV844" s="14" t="s">
        <v>94</v>
      </c>
      <c r="AW844" s="74"/>
      <c r="AX844" s="1"/>
      <c r="AY844" s="17" t="s">
        <v>101</v>
      </c>
    </row>
    <row r="845" spans="1:51" ht="15" customHeight="1" x14ac:dyDescent="0.25">
      <c r="A845" s="5">
        <v>810</v>
      </c>
      <c r="B845" s="9">
        <v>810</v>
      </c>
      <c r="C845" s="9" t="s">
        <v>10236</v>
      </c>
      <c r="D845" s="57" t="str">
        <f>HYPERLINK("http://prodenv.dep.state.fl.us/DepNexus/public/electronic-documents/OG_810/facility!search","OG_810_Docs")</f>
        <v>OG_810_Docs</v>
      </c>
      <c r="E845" s="57" t="str">
        <f>HYPERLINK("https://ca.dep.state.fl.us/mapdirect/?focus=oilandgas&amp;zoom=query&amp;querytype=oilandgas&amp;queryvalues=OG_810","OG_810_Map")</f>
        <v>OG_810_Map</v>
      </c>
      <c r="F845" s="1" t="s">
        <v>1752</v>
      </c>
      <c r="G845" s="1" t="s">
        <v>4496</v>
      </c>
      <c r="H845" s="1" t="s">
        <v>5029</v>
      </c>
      <c r="I845" s="1" t="s">
        <v>10237</v>
      </c>
      <c r="J845" s="17" t="s">
        <v>268</v>
      </c>
      <c r="K845" s="17" t="s">
        <v>2105</v>
      </c>
      <c r="L845" s="17"/>
      <c r="M845" s="17"/>
      <c r="N845" s="52" t="s">
        <v>6529</v>
      </c>
      <c r="O845" s="17" t="s">
        <v>86</v>
      </c>
      <c r="P845" s="17" t="s">
        <v>86</v>
      </c>
      <c r="Q845" s="81" t="s">
        <v>10238</v>
      </c>
      <c r="R845" s="11">
        <v>26.551383999999999</v>
      </c>
      <c r="S845" s="11">
        <v>-81.553886000000006</v>
      </c>
      <c r="T845" s="11" t="s">
        <v>10239</v>
      </c>
      <c r="U845" s="11" t="s">
        <v>10240</v>
      </c>
      <c r="V845" s="17" t="s">
        <v>10241</v>
      </c>
      <c r="W845" s="17" t="s">
        <v>110</v>
      </c>
      <c r="X845" s="70">
        <v>49</v>
      </c>
      <c r="Y845" s="70">
        <v>32</v>
      </c>
      <c r="Z845" s="13">
        <v>27730</v>
      </c>
      <c r="AA845" s="13">
        <v>27731</v>
      </c>
      <c r="AB845" s="13">
        <v>27785</v>
      </c>
      <c r="AC845" s="13">
        <v>37012</v>
      </c>
      <c r="AD845" s="86">
        <v>11600</v>
      </c>
      <c r="AE845" s="86">
        <v>11600</v>
      </c>
      <c r="AF845" s="70" t="s">
        <v>9908</v>
      </c>
      <c r="AG845" s="17" t="s">
        <v>10242</v>
      </c>
      <c r="AH845" s="17" t="s">
        <v>10243</v>
      </c>
      <c r="AI845" s="70" t="s">
        <v>10244</v>
      </c>
      <c r="AJ845" s="17" t="s">
        <v>10245</v>
      </c>
      <c r="AK845" s="17" t="s">
        <v>94</v>
      </c>
      <c r="AL845" s="17" t="s">
        <v>10246</v>
      </c>
      <c r="AM845" s="17" t="s">
        <v>95</v>
      </c>
      <c r="AN845" s="17" t="s">
        <v>86</v>
      </c>
      <c r="AO845" s="17" t="s">
        <v>10247</v>
      </c>
      <c r="AP845" s="17" t="s">
        <v>10248</v>
      </c>
      <c r="AQ845" s="17" t="s">
        <v>3852</v>
      </c>
      <c r="AR845" s="17" t="s">
        <v>10249</v>
      </c>
      <c r="AS845" s="17" t="s">
        <v>10250</v>
      </c>
      <c r="AT845" s="17"/>
      <c r="AU845" s="30" t="s">
        <v>10251</v>
      </c>
      <c r="AV845" s="14">
        <v>12956</v>
      </c>
      <c r="AW845" s="74"/>
      <c r="AX845" s="1"/>
      <c r="AY845" s="17" t="s">
        <v>101</v>
      </c>
    </row>
    <row r="846" spans="1:51" ht="15" customHeight="1" x14ac:dyDescent="0.25">
      <c r="A846" s="5">
        <v>811</v>
      </c>
      <c r="B846" s="9">
        <v>811</v>
      </c>
      <c r="C846" s="9" t="s">
        <v>10252</v>
      </c>
      <c r="D846" s="57" t="str">
        <f>HYPERLINK("http://prodenv.dep.state.fl.us/DepNexus/public/electronic-documents/OG_811/facility!search","OG_811_Docs")</f>
        <v>OG_811_Docs</v>
      </c>
      <c r="E846" s="57" t="str">
        <f>HYPERLINK("https://ca.dep.state.fl.us/mapdirect/?focus=oilandgas&amp;zoom=query&amp;querytype=oilandgas&amp;queryvalues=OG_811","OG_811_Map")</f>
        <v>OG_811_Map</v>
      </c>
      <c r="F846" s="1" t="s">
        <v>1797</v>
      </c>
      <c r="G846" s="1" t="s">
        <v>1798</v>
      </c>
      <c r="H846" s="1" t="s">
        <v>10253</v>
      </c>
      <c r="I846" s="1" t="s">
        <v>10254</v>
      </c>
      <c r="J846" s="17" t="s">
        <v>82</v>
      </c>
      <c r="K846" s="17" t="s">
        <v>83</v>
      </c>
      <c r="L846" s="17"/>
      <c r="M846" s="17"/>
      <c r="N846" s="52" t="s">
        <v>4802</v>
      </c>
      <c r="O846" s="17" t="s">
        <v>86</v>
      </c>
      <c r="P846" s="17" t="s">
        <v>86</v>
      </c>
      <c r="Q846" s="81" t="s">
        <v>10255</v>
      </c>
      <c r="R846" s="11">
        <v>30.978887</v>
      </c>
      <c r="S846" s="11">
        <v>-87.119387000000003</v>
      </c>
      <c r="T846" s="11" t="s">
        <v>10256</v>
      </c>
      <c r="U846" s="11" t="s">
        <v>10257</v>
      </c>
      <c r="V846" s="17" t="s">
        <v>10258</v>
      </c>
      <c r="W846" s="17" t="s">
        <v>110</v>
      </c>
      <c r="X846" s="70">
        <v>266</v>
      </c>
      <c r="Y846" s="70">
        <v>246.9</v>
      </c>
      <c r="Z846" s="13">
        <v>27744</v>
      </c>
      <c r="AA846" s="13">
        <v>27784</v>
      </c>
      <c r="AB846" s="13"/>
      <c r="AC846" s="13">
        <v>27854</v>
      </c>
      <c r="AD846" s="86">
        <v>15479</v>
      </c>
      <c r="AE846" s="86">
        <v>15479</v>
      </c>
      <c r="AF846" s="70" t="s">
        <v>10259</v>
      </c>
      <c r="AG846" s="17" t="s">
        <v>10260</v>
      </c>
      <c r="AH846" s="17" t="s">
        <v>94</v>
      </c>
      <c r="AI846" s="70" t="s">
        <v>94</v>
      </c>
      <c r="AJ846" s="17" t="s">
        <v>94</v>
      </c>
      <c r="AK846" s="17" t="s">
        <v>94</v>
      </c>
      <c r="AL846" s="17" t="s">
        <v>94</v>
      </c>
      <c r="AM846" s="17" t="s">
        <v>94</v>
      </c>
      <c r="AN846" s="17" t="s">
        <v>94</v>
      </c>
      <c r="AO846" s="17" t="s">
        <v>98</v>
      </c>
      <c r="AP846" s="17" t="s">
        <v>98</v>
      </c>
      <c r="AQ846" s="17" t="s">
        <v>98</v>
      </c>
      <c r="AR846" s="17" t="s">
        <v>94</v>
      </c>
      <c r="AS846" s="17" t="s">
        <v>10261</v>
      </c>
      <c r="AT846" s="17"/>
      <c r="AU846" s="30" t="s">
        <v>10262</v>
      </c>
      <c r="AV846" s="14">
        <v>13072</v>
      </c>
      <c r="AW846" s="74"/>
      <c r="AX846" s="1"/>
      <c r="AY846" s="17" t="s">
        <v>101</v>
      </c>
    </row>
    <row r="847" spans="1:51" ht="15" customHeight="1" x14ac:dyDescent="0.25">
      <c r="A847" s="5">
        <v>812</v>
      </c>
      <c r="B847" s="9">
        <v>812</v>
      </c>
      <c r="C847" s="9" t="s">
        <v>10263</v>
      </c>
      <c r="D847" s="57" t="str">
        <f>HYPERLINK("http://prodenv.dep.state.fl.us/DepNexus/public/electronic-documents/OG_812/facility!search","OG_812_Docs")</f>
        <v>OG_812_Docs</v>
      </c>
      <c r="E847" s="57" t="str">
        <f>HYPERLINK("https://ca.dep.state.fl.us/mapdirect/?focus=oilandgas&amp;zoom=query&amp;querytype=oilandgas&amp;queryvalues=OG_812","OG_812_Map")</f>
        <v>OG_812_Map</v>
      </c>
      <c r="F847" s="1" t="s">
        <v>2026</v>
      </c>
      <c r="G847" s="1" t="s">
        <v>9085</v>
      </c>
      <c r="H847" s="1" t="s">
        <v>8261</v>
      </c>
      <c r="I847" s="1" t="s">
        <v>10264</v>
      </c>
      <c r="J847" s="17" t="s">
        <v>268</v>
      </c>
      <c r="K847" s="17" t="s">
        <v>5975</v>
      </c>
      <c r="L847" s="17"/>
      <c r="M847" s="17"/>
      <c r="N847" s="52" t="s">
        <v>86</v>
      </c>
      <c r="O847" s="17" t="s">
        <v>86</v>
      </c>
      <c r="P847" s="17" t="s">
        <v>86</v>
      </c>
      <c r="Q847" s="81" t="s">
        <v>10265</v>
      </c>
      <c r="R847" s="11">
        <v>26.627054000000001</v>
      </c>
      <c r="S847" s="11">
        <v>-81.706630000000004</v>
      </c>
      <c r="T847" s="11" t="s">
        <v>10266</v>
      </c>
      <c r="U847" s="11" t="s">
        <v>10267</v>
      </c>
      <c r="V847" s="17" t="s">
        <v>10268</v>
      </c>
      <c r="W847" s="17" t="s">
        <v>10269</v>
      </c>
      <c r="X847" s="70">
        <v>44</v>
      </c>
      <c r="Y847" s="70">
        <v>22</v>
      </c>
      <c r="Z847" s="13">
        <v>27792</v>
      </c>
      <c r="AA847" s="13">
        <v>27819</v>
      </c>
      <c r="AB847" s="13">
        <v>27872</v>
      </c>
      <c r="AC847" s="13">
        <v>31867</v>
      </c>
      <c r="AD847" s="86">
        <v>11619</v>
      </c>
      <c r="AE847" s="86">
        <v>11740</v>
      </c>
      <c r="AF847" s="70" t="s">
        <v>6793</v>
      </c>
      <c r="AG847" s="17" t="s">
        <v>6400</v>
      </c>
      <c r="AH847" s="17" t="s">
        <v>10270</v>
      </c>
      <c r="AI847" s="70" t="s">
        <v>94</v>
      </c>
      <c r="AJ847" s="17" t="s">
        <v>10271</v>
      </c>
      <c r="AK847" s="17" t="s">
        <v>95</v>
      </c>
      <c r="AL847" s="17" t="s">
        <v>10272</v>
      </c>
      <c r="AM847" s="17" t="s">
        <v>825</v>
      </c>
      <c r="AN847" s="17" t="s">
        <v>86</v>
      </c>
      <c r="AO847" s="17" t="s">
        <v>94</v>
      </c>
      <c r="AP847" s="17" t="s">
        <v>94</v>
      </c>
      <c r="AQ847" s="17" t="s">
        <v>94</v>
      </c>
      <c r="AR847" s="17" t="s">
        <v>94</v>
      </c>
      <c r="AS847" s="17" t="s">
        <v>10273</v>
      </c>
      <c r="AT847" s="17"/>
      <c r="AU847" s="30" t="s">
        <v>10274</v>
      </c>
      <c r="AV847" s="14">
        <v>13010</v>
      </c>
      <c r="AW847" s="74"/>
      <c r="AX847" s="1"/>
      <c r="AY847" s="17" t="s">
        <v>101</v>
      </c>
    </row>
    <row r="848" spans="1:51" ht="12.75" customHeight="1" x14ac:dyDescent="0.25">
      <c r="A848" s="5">
        <v>813</v>
      </c>
      <c r="B848" s="9">
        <v>813</v>
      </c>
      <c r="C848" s="9" t="s">
        <v>10275</v>
      </c>
      <c r="D848" s="57" t="str">
        <f>HYPERLINK("http://prodenv.dep.state.fl.us/DepNexus/public/electronic-documents/OG_813/facility!search","OG_813_Docs")</f>
        <v>OG_813_Docs</v>
      </c>
      <c r="E848" s="57" t="str">
        <f>HYPERLINK("https://ca.dep.state.fl.us/mapdirect/?focus=oilandgas&amp;zoom=query&amp;querytype=oilandgas&amp;queryvalues=OG_813","OG_813_Map")</f>
        <v>OG_813_Map</v>
      </c>
      <c r="F848" s="1" t="s">
        <v>2026</v>
      </c>
      <c r="G848" s="1" t="s">
        <v>9085</v>
      </c>
      <c r="H848" s="1" t="s">
        <v>8261</v>
      </c>
      <c r="I848" s="1" t="s">
        <v>10276</v>
      </c>
      <c r="J848" s="17" t="s">
        <v>82</v>
      </c>
      <c r="K848" s="17" t="s">
        <v>83</v>
      </c>
      <c r="L848" s="17"/>
      <c r="M848" s="17"/>
      <c r="N848" s="52" t="s">
        <v>86</v>
      </c>
      <c r="O848" s="17" t="s">
        <v>86</v>
      </c>
      <c r="P848" s="17" t="s">
        <v>86</v>
      </c>
      <c r="Q848" s="81" t="s">
        <v>10277</v>
      </c>
      <c r="R848" s="11">
        <v>26.621393999999999</v>
      </c>
      <c r="S848" s="11">
        <v>-81.702687999999995</v>
      </c>
      <c r="T848" s="11" t="s">
        <v>10278</v>
      </c>
      <c r="U848" s="11" t="s">
        <v>10279</v>
      </c>
      <c r="V848" s="17" t="s">
        <v>10280</v>
      </c>
      <c r="W848" s="17" t="s">
        <v>110</v>
      </c>
      <c r="X848" s="70">
        <v>48.8</v>
      </c>
      <c r="Y848" s="70">
        <v>25</v>
      </c>
      <c r="Z848" s="13">
        <v>27792</v>
      </c>
      <c r="AA848" s="13">
        <v>28391</v>
      </c>
      <c r="AB848" s="13"/>
      <c r="AC848" s="13">
        <v>28445</v>
      </c>
      <c r="AD848" s="86">
        <v>12166</v>
      </c>
      <c r="AE848" s="86">
        <v>12166</v>
      </c>
      <c r="AF848" s="70" t="s">
        <v>10281</v>
      </c>
      <c r="AG848" s="17" t="s">
        <v>10282</v>
      </c>
      <c r="AH848" s="17" t="s">
        <v>6795</v>
      </c>
      <c r="AI848" s="70" t="s">
        <v>94</v>
      </c>
      <c r="AJ848" s="17" t="s">
        <v>94</v>
      </c>
      <c r="AK848" s="17" t="s">
        <v>95</v>
      </c>
      <c r="AL848" s="17" t="s">
        <v>10283</v>
      </c>
      <c r="AM848" s="17" t="s">
        <v>825</v>
      </c>
      <c r="AN848" s="17" t="s">
        <v>94</v>
      </c>
      <c r="AO848" s="17" t="s">
        <v>98</v>
      </c>
      <c r="AP848" s="17" t="s">
        <v>98</v>
      </c>
      <c r="AQ848" s="17" t="s">
        <v>98</v>
      </c>
      <c r="AR848" s="17" t="s">
        <v>94</v>
      </c>
      <c r="AS848" s="17" t="s">
        <v>10284</v>
      </c>
      <c r="AT848" s="17"/>
      <c r="AU848" s="30" t="s">
        <v>10285</v>
      </c>
      <c r="AV848" s="14">
        <v>13771</v>
      </c>
      <c r="AW848" s="74"/>
      <c r="AX848" s="1" t="s">
        <v>10286</v>
      </c>
      <c r="AY848" s="17" t="s">
        <v>101</v>
      </c>
    </row>
    <row r="849" spans="1:51" ht="15" customHeight="1" x14ac:dyDescent="0.25">
      <c r="A849" s="5">
        <v>814</v>
      </c>
      <c r="B849" s="9">
        <v>814</v>
      </c>
      <c r="C849" s="9" t="s">
        <v>10287</v>
      </c>
      <c r="D849" s="57" t="str">
        <f>HYPERLINK("http://prodenv.dep.state.fl.us/DepNexus/public/electronic-documents/OG_814/facility!search","OG_814_Docs")</f>
        <v>OG_814_Docs</v>
      </c>
      <c r="E849" s="57" t="str">
        <f>HYPERLINK("https://ca.dep.state.fl.us/mapdirect/?focus=oilandgas&amp;zoom=query&amp;querytype=oilandgas&amp;queryvalues=OG_814","OG_814_Map")</f>
        <v>OG_814_Map</v>
      </c>
      <c r="F849" s="1" t="s">
        <v>191</v>
      </c>
      <c r="G849" s="1" t="s">
        <v>79</v>
      </c>
      <c r="H849" s="1" t="s">
        <v>8261</v>
      </c>
      <c r="I849" s="1" t="s">
        <v>10288</v>
      </c>
      <c r="J849" s="17" t="s">
        <v>82</v>
      </c>
      <c r="K849" s="17" t="s">
        <v>83</v>
      </c>
      <c r="L849" s="17" t="s">
        <v>101</v>
      </c>
      <c r="M849" s="17" t="s">
        <v>101</v>
      </c>
      <c r="N849" s="52" t="s">
        <v>6529</v>
      </c>
      <c r="O849" s="17" t="s">
        <v>86</v>
      </c>
      <c r="P849" s="17" t="s">
        <v>86</v>
      </c>
      <c r="Q849" s="81" t="s">
        <v>10289</v>
      </c>
      <c r="R849" s="11">
        <v>29.950292999999999</v>
      </c>
      <c r="S849" s="11">
        <v>-84.847813000000002</v>
      </c>
      <c r="T849" s="11" t="s">
        <v>10290</v>
      </c>
      <c r="U849" s="11" t="s">
        <v>10291</v>
      </c>
      <c r="V849" s="17" t="s">
        <v>10292</v>
      </c>
      <c r="W849" s="17" t="s">
        <v>110</v>
      </c>
      <c r="X849" s="70">
        <v>49</v>
      </c>
      <c r="Y849" s="70">
        <v>32</v>
      </c>
      <c r="Z849" s="13">
        <v>27828</v>
      </c>
      <c r="AA849" s="13">
        <v>27921</v>
      </c>
      <c r="AB849" s="13">
        <v>28017</v>
      </c>
      <c r="AC849" s="13">
        <v>28017</v>
      </c>
      <c r="AD849" s="86">
        <v>11950</v>
      </c>
      <c r="AE849" s="86">
        <v>11950</v>
      </c>
      <c r="AF849" s="70" t="s">
        <v>10293</v>
      </c>
      <c r="AG849" s="17" t="s">
        <v>10294</v>
      </c>
      <c r="AH849" s="17" t="s">
        <v>10295</v>
      </c>
      <c r="AI849" s="70" t="s">
        <v>94</v>
      </c>
      <c r="AJ849" s="17" t="s">
        <v>94</v>
      </c>
      <c r="AK849" s="17" t="s">
        <v>95</v>
      </c>
      <c r="AL849" s="17" t="s">
        <v>10296</v>
      </c>
      <c r="AM849" s="17" t="s">
        <v>95</v>
      </c>
      <c r="AN849" s="17" t="s">
        <v>94</v>
      </c>
      <c r="AO849" s="17" t="s">
        <v>98</v>
      </c>
      <c r="AP849" s="17" t="s">
        <v>98</v>
      </c>
      <c r="AQ849" s="17" t="s">
        <v>98</v>
      </c>
      <c r="AR849" s="17" t="s">
        <v>94</v>
      </c>
      <c r="AS849" s="17" t="s">
        <v>10297</v>
      </c>
      <c r="AT849" s="17">
        <v>210</v>
      </c>
      <c r="AU849" s="30" t="s">
        <v>10298</v>
      </c>
      <c r="AV849" s="14">
        <v>13530</v>
      </c>
      <c r="AW849" s="74"/>
      <c r="AX849" s="1"/>
      <c r="AY849" s="17" t="s">
        <v>101</v>
      </c>
    </row>
    <row r="850" spans="1:51" ht="12.75" customHeight="1" x14ac:dyDescent="0.25">
      <c r="A850" s="5">
        <v>815</v>
      </c>
      <c r="B850" s="9">
        <v>815</v>
      </c>
      <c r="C850" s="9" t="s">
        <v>10299</v>
      </c>
      <c r="D850" s="57" t="str">
        <f>HYPERLINK("http://prodenv.dep.state.fl.us/DepNexus/public/electronic-documents/OG_815/facility!search","OG_815_Docs")</f>
        <v>OG_815_Docs</v>
      </c>
      <c r="E850" s="57" t="str">
        <f>HYPERLINK("https://ca.dep.state.fl.us/mapdirect/?focus=oilandgas&amp;zoom=query&amp;querytype=oilandgas&amp;queryvalues=OG_815","OG_815_Map")</f>
        <v>OG_815_Map</v>
      </c>
      <c r="F850" s="1" t="s">
        <v>1797</v>
      </c>
      <c r="G850" s="1" t="s">
        <v>6648</v>
      </c>
      <c r="H850" s="1" t="s">
        <v>6668</v>
      </c>
      <c r="I850" s="1" t="s">
        <v>10300</v>
      </c>
      <c r="J850" s="17" t="s">
        <v>5135</v>
      </c>
      <c r="K850" s="17" t="s">
        <v>6671</v>
      </c>
      <c r="L850" s="17"/>
      <c r="M850" s="17"/>
      <c r="N850" s="52" t="s">
        <v>6529</v>
      </c>
      <c r="O850" s="17" t="s">
        <v>86</v>
      </c>
      <c r="P850" s="17" t="s">
        <v>86</v>
      </c>
      <c r="Q850" s="81" t="s">
        <v>10301</v>
      </c>
      <c r="R850" s="11">
        <v>30.858246000000001</v>
      </c>
      <c r="S850" s="11">
        <v>-87.135445000000004</v>
      </c>
      <c r="T850" s="11" t="s">
        <v>10302</v>
      </c>
      <c r="U850" s="11" t="s">
        <v>10303</v>
      </c>
      <c r="V850" s="17" t="s">
        <v>10304</v>
      </c>
      <c r="W850" s="17" t="s">
        <v>110</v>
      </c>
      <c r="X850" s="70">
        <v>231.7</v>
      </c>
      <c r="Y850" s="70">
        <v>209</v>
      </c>
      <c r="Z850" s="13">
        <v>27842</v>
      </c>
      <c r="AA850" s="13">
        <v>27911</v>
      </c>
      <c r="AB850" s="13">
        <v>28061</v>
      </c>
      <c r="AC850" s="13"/>
      <c r="AD850" s="86">
        <v>16226</v>
      </c>
      <c r="AE850" s="86">
        <v>16226</v>
      </c>
      <c r="AF850" s="70" t="s">
        <v>10305</v>
      </c>
      <c r="AG850" s="17" t="s">
        <v>10306</v>
      </c>
      <c r="AH850" s="17" t="s">
        <v>94</v>
      </c>
      <c r="AI850" s="70" t="s">
        <v>10307</v>
      </c>
      <c r="AJ850" s="17" t="s">
        <v>10308</v>
      </c>
      <c r="AK850" s="17" t="s">
        <v>95</v>
      </c>
      <c r="AL850" s="17" t="s">
        <v>10309</v>
      </c>
      <c r="AM850" s="17" t="s">
        <v>95</v>
      </c>
      <c r="AN850" s="17" t="s">
        <v>94</v>
      </c>
      <c r="AO850" s="17" t="s">
        <v>94</v>
      </c>
      <c r="AP850" s="17" t="s">
        <v>94</v>
      </c>
      <c r="AQ850" s="17" t="s">
        <v>94</v>
      </c>
      <c r="AR850" s="17" t="s">
        <v>10310</v>
      </c>
      <c r="AS850" s="17"/>
      <c r="AT850" s="17"/>
      <c r="AU850" s="30" t="s">
        <v>10311</v>
      </c>
      <c r="AV850" s="14">
        <v>13134</v>
      </c>
      <c r="AW850" s="74">
        <v>302533</v>
      </c>
      <c r="AX850" s="1" t="s">
        <v>10312</v>
      </c>
      <c r="AY850" s="17" t="s">
        <v>101</v>
      </c>
    </row>
    <row r="851" spans="1:51" ht="12.75" customHeight="1" x14ac:dyDescent="0.25">
      <c r="A851" s="5">
        <v>816</v>
      </c>
      <c r="B851" s="9">
        <v>816</v>
      </c>
      <c r="C851" s="9" t="s">
        <v>10313</v>
      </c>
      <c r="D851" s="57" t="str">
        <f>HYPERLINK("http://prodenv.dep.state.fl.us/DepNexus/public/electronic-documents/OG_816/facility!search","OG_816_Docs")</f>
        <v>OG_816_Docs</v>
      </c>
      <c r="E851" s="57" t="str">
        <f>HYPERLINK("https://ca.dep.state.fl.us/mapdirect/?focus=oilandgas&amp;zoom=query&amp;querytype=oilandgas&amp;queryvalues=OG_816","OG_816_Map")</f>
        <v>OG_816_Map</v>
      </c>
      <c r="F851" s="1" t="s">
        <v>2026</v>
      </c>
      <c r="G851" s="1" t="s">
        <v>9085</v>
      </c>
      <c r="H851" s="1" t="s">
        <v>8261</v>
      </c>
      <c r="I851" s="1" t="s">
        <v>10314</v>
      </c>
      <c r="J851" s="17" t="s">
        <v>207</v>
      </c>
      <c r="K851" s="17" t="s">
        <v>208</v>
      </c>
      <c r="L851" s="17"/>
      <c r="M851" s="17" t="s">
        <v>207</v>
      </c>
      <c r="N851" s="52" t="s">
        <v>207</v>
      </c>
      <c r="O851" s="17" t="s">
        <v>86</v>
      </c>
      <c r="P851" s="17" t="s">
        <v>86</v>
      </c>
      <c r="Q851" s="81" t="s">
        <v>10315</v>
      </c>
      <c r="R851" s="11">
        <v>26.631153000000001</v>
      </c>
      <c r="S851" s="11">
        <v>-81.714962</v>
      </c>
      <c r="T851" s="11" t="s">
        <v>10316</v>
      </c>
      <c r="U851" s="11" t="s">
        <v>10317</v>
      </c>
      <c r="V851" s="17" t="s">
        <v>10318</v>
      </c>
      <c r="W851" s="17" t="s">
        <v>110</v>
      </c>
      <c r="X851" s="70"/>
      <c r="Y851" s="70"/>
      <c r="Z851" s="13">
        <v>27842</v>
      </c>
      <c r="AA851" s="13"/>
      <c r="AB851" s="13"/>
      <c r="AC851" s="13"/>
      <c r="AD851" s="86"/>
      <c r="AE851" s="70"/>
      <c r="AF851" s="70" t="s">
        <v>207</v>
      </c>
      <c r="AG851" s="14" t="s">
        <v>207</v>
      </c>
      <c r="AH851" s="14" t="s">
        <v>207</v>
      </c>
      <c r="AI851" s="70" t="s">
        <v>207</v>
      </c>
      <c r="AJ851" s="14" t="s">
        <v>207</v>
      </c>
      <c r="AK851" s="14" t="s">
        <v>207</v>
      </c>
      <c r="AL851" s="14" t="s">
        <v>207</v>
      </c>
      <c r="AM851" s="14" t="s">
        <v>207</v>
      </c>
      <c r="AN851" s="14" t="s">
        <v>207</v>
      </c>
      <c r="AO851" s="14" t="s">
        <v>207</v>
      </c>
      <c r="AP851" s="14" t="s">
        <v>207</v>
      </c>
      <c r="AQ851" s="14" t="s">
        <v>207</v>
      </c>
      <c r="AR851" s="14" t="s">
        <v>207</v>
      </c>
      <c r="AS851" s="14" t="s">
        <v>207</v>
      </c>
      <c r="AT851" s="14" t="s">
        <v>207</v>
      </c>
      <c r="AU851" s="30" t="s">
        <v>10319</v>
      </c>
      <c r="AV851" s="14" t="s">
        <v>207</v>
      </c>
      <c r="AW851" s="74"/>
      <c r="AX851" s="1"/>
      <c r="AY851" s="17" t="s">
        <v>101</v>
      </c>
    </row>
    <row r="852" spans="1:51" ht="15" customHeight="1" x14ac:dyDescent="0.25">
      <c r="A852" s="5">
        <v>817</v>
      </c>
      <c r="B852" s="9">
        <v>817</v>
      </c>
      <c r="C852" s="9" t="s">
        <v>10320</v>
      </c>
      <c r="D852" s="57" t="str">
        <f>HYPERLINK("http://prodenv.dep.state.fl.us/DepNexus/public/electronic-documents/OG_817/facility!search","OG_817_Docs")</f>
        <v>OG_817_Docs</v>
      </c>
      <c r="E852" s="57" t="str">
        <f>HYPERLINK("https://ca.dep.state.fl.us/mapdirect/?focus=oilandgas&amp;zoom=query&amp;querytype=oilandgas&amp;queryvalues=OG_817","OG_817_Map")</f>
        <v>OG_817_Map</v>
      </c>
      <c r="F852" s="1" t="s">
        <v>2026</v>
      </c>
      <c r="G852" s="1" t="s">
        <v>4496</v>
      </c>
      <c r="H852" s="1" t="s">
        <v>8261</v>
      </c>
      <c r="I852" s="1" t="s">
        <v>10321</v>
      </c>
      <c r="J852" s="17" t="s">
        <v>82</v>
      </c>
      <c r="K852" s="17" t="s">
        <v>83</v>
      </c>
      <c r="L852" s="17"/>
      <c r="M852" s="17"/>
      <c r="N852" s="52" t="s">
        <v>5949</v>
      </c>
      <c r="O852" s="17" t="s">
        <v>86</v>
      </c>
      <c r="P852" s="17" t="s">
        <v>86</v>
      </c>
      <c r="Q852" s="81" t="s">
        <v>5754</v>
      </c>
      <c r="R852" s="11">
        <v>26.571833000000002</v>
      </c>
      <c r="S852" s="11">
        <v>-81.599996000000004</v>
      </c>
      <c r="T852" s="11" t="s">
        <v>10322</v>
      </c>
      <c r="U852" s="11" t="s">
        <v>10323</v>
      </c>
      <c r="V852" s="17" t="s">
        <v>10324</v>
      </c>
      <c r="W852" s="17" t="s">
        <v>10325</v>
      </c>
      <c r="X852" s="70">
        <v>54.4</v>
      </c>
      <c r="Y852" s="70">
        <v>31.2</v>
      </c>
      <c r="Z852" s="13">
        <v>27870</v>
      </c>
      <c r="AA852" s="13">
        <v>27880</v>
      </c>
      <c r="AB852" s="13"/>
      <c r="AC852" s="13">
        <v>27928</v>
      </c>
      <c r="AD852" s="86">
        <v>11550</v>
      </c>
      <c r="AE852" s="86">
        <v>11567</v>
      </c>
      <c r="AF852" s="70" t="s">
        <v>6611</v>
      </c>
      <c r="AG852" s="17" t="s">
        <v>9162</v>
      </c>
      <c r="AH852" s="17" t="s">
        <v>10326</v>
      </c>
      <c r="AI852" s="70" t="s">
        <v>94</v>
      </c>
      <c r="AJ852" s="17" t="s">
        <v>94</v>
      </c>
      <c r="AK852" s="17" t="s">
        <v>94</v>
      </c>
      <c r="AL852" s="17" t="s">
        <v>94</v>
      </c>
      <c r="AM852" s="17" t="s">
        <v>94</v>
      </c>
      <c r="AN852" s="17" t="s">
        <v>94</v>
      </c>
      <c r="AO852" s="17" t="s">
        <v>98</v>
      </c>
      <c r="AP852" s="17" t="s">
        <v>98</v>
      </c>
      <c r="AQ852" s="17" t="s">
        <v>98</v>
      </c>
      <c r="AR852" s="17" t="s">
        <v>94</v>
      </c>
      <c r="AS852" s="17" t="s">
        <v>10327</v>
      </c>
      <c r="AT852" s="17"/>
      <c r="AU852" s="30" t="s">
        <v>10328</v>
      </c>
      <c r="AV852" s="14">
        <v>13348</v>
      </c>
      <c r="AW852" s="74"/>
      <c r="AX852" s="1"/>
      <c r="AY852" s="17" t="s">
        <v>101</v>
      </c>
    </row>
    <row r="853" spans="1:51" ht="12.75" customHeight="1" x14ac:dyDescent="0.25">
      <c r="A853" s="5">
        <v>818</v>
      </c>
      <c r="B853" s="9">
        <v>818</v>
      </c>
      <c r="C853" s="9" t="s">
        <v>10329</v>
      </c>
      <c r="D853" s="57" t="str">
        <f>HYPERLINK("http://prodenv.dep.state.fl.us/DepNexus/public/electronic-documents/OG_818/facility!search","OG_818_Docs")</f>
        <v>OG_818_Docs</v>
      </c>
      <c r="E853" s="57" t="str">
        <f>HYPERLINK("https://ca.dep.state.fl.us/mapdirect/?focus=oilandgas&amp;zoom=query&amp;querytype=oilandgas&amp;queryvalues=OG_818","OG_818_Map")</f>
        <v>OG_818_Map</v>
      </c>
      <c r="F853" s="1" t="s">
        <v>265</v>
      </c>
      <c r="G853" s="1" t="s">
        <v>79</v>
      </c>
      <c r="H853" s="1" t="s">
        <v>10330</v>
      </c>
      <c r="I853" s="1" t="s">
        <v>10331</v>
      </c>
      <c r="J853" s="17" t="s">
        <v>207</v>
      </c>
      <c r="K853" s="17" t="s">
        <v>208</v>
      </c>
      <c r="L853" s="17"/>
      <c r="M853" s="17" t="s">
        <v>207</v>
      </c>
      <c r="N853" s="52" t="s">
        <v>207</v>
      </c>
      <c r="O853" s="17" t="s">
        <v>270</v>
      </c>
      <c r="P853" s="17" t="s">
        <v>86</v>
      </c>
      <c r="Q853" s="81" t="s">
        <v>10332</v>
      </c>
      <c r="R853" s="11">
        <v>26.445029000000002</v>
      </c>
      <c r="S853" s="11">
        <v>-81.301196000000004</v>
      </c>
      <c r="T853" s="11" t="s">
        <v>10333</v>
      </c>
      <c r="U853" s="11" t="s">
        <v>10334</v>
      </c>
      <c r="V853" s="17" t="s">
        <v>10335</v>
      </c>
      <c r="W853" s="17" t="s">
        <v>110</v>
      </c>
      <c r="X853" s="70"/>
      <c r="Y853" s="70"/>
      <c r="Z853" s="13">
        <v>27884</v>
      </c>
      <c r="AA853" s="13"/>
      <c r="AB853" s="13"/>
      <c r="AC853" s="13"/>
      <c r="AD853" s="86"/>
      <c r="AE853" s="70"/>
      <c r="AF853" s="70" t="s">
        <v>207</v>
      </c>
      <c r="AG853" s="14" t="s">
        <v>207</v>
      </c>
      <c r="AH853" s="14" t="s">
        <v>207</v>
      </c>
      <c r="AI853" s="70" t="s">
        <v>207</v>
      </c>
      <c r="AJ853" s="14" t="s">
        <v>207</v>
      </c>
      <c r="AK853" s="14" t="s">
        <v>207</v>
      </c>
      <c r="AL853" s="14" t="s">
        <v>207</v>
      </c>
      <c r="AM853" s="14" t="s">
        <v>207</v>
      </c>
      <c r="AN853" s="14" t="s">
        <v>207</v>
      </c>
      <c r="AO853" s="14" t="s">
        <v>207</v>
      </c>
      <c r="AP853" s="14" t="s">
        <v>207</v>
      </c>
      <c r="AQ853" s="14" t="s">
        <v>207</v>
      </c>
      <c r="AR853" s="14" t="s">
        <v>207</v>
      </c>
      <c r="AS853" s="14" t="s">
        <v>207</v>
      </c>
      <c r="AT853" s="14" t="s">
        <v>207</v>
      </c>
      <c r="AU853" s="30" t="s">
        <v>10336</v>
      </c>
      <c r="AV853" s="14" t="s">
        <v>207</v>
      </c>
      <c r="AW853" s="74"/>
      <c r="AX853" s="1"/>
      <c r="AY853" s="17" t="s">
        <v>101</v>
      </c>
    </row>
    <row r="854" spans="1:51" ht="12.75" customHeight="1" x14ac:dyDescent="0.25">
      <c r="A854" s="5">
        <v>819</v>
      </c>
      <c r="B854" s="9">
        <v>819</v>
      </c>
      <c r="C854" s="9" t="s">
        <v>10337</v>
      </c>
      <c r="D854" s="57" t="str">
        <f>HYPERLINK("http://prodenv.dep.state.fl.us/DepNexus/public/electronic-documents/OG_819/facility!search","OG_819_Docs")</f>
        <v>OG_819_Docs</v>
      </c>
      <c r="E854" s="57" t="str">
        <f>HYPERLINK("https://ca.dep.state.fl.us/mapdirect/?focus=oilandgas&amp;zoom=query&amp;querytype=oilandgas&amp;queryvalues=OG_819","OG_819_Map")</f>
        <v>OG_819_Map</v>
      </c>
      <c r="F854" s="1" t="s">
        <v>265</v>
      </c>
      <c r="G854" s="1" t="s">
        <v>79</v>
      </c>
      <c r="H854" s="1" t="s">
        <v>9855</v>
      </c>
      <c r="I854" s="1" t="s">
        <v>10338</v>
      </c>
      <c r="J854" s="17" t="s">
        <v>207</v>
      </c>
      <c r="K854" s="17" t="s">
        <v>208</v>
      </c>
      <c r="L854" s="17"/>
      <c r="M854" s="17" t="s">
        <v>207</v>
      </c>
      <c r="N854" s="52" t="s">
        <v>207</v>
      </c>
      <c r="O854" s="17" t="s">
        <v>270</v>
      </c>
      <c r="P854" s="17" t="s">
        <v>86</v>
      </c>
      <c r="Q854" s="81" t="s">
        <v>10339</v>
      </c>
      <c r="R854" s="11">
        <v>26.046385000000001</v>
      </c>
      <c r="S854" s="11">
        <v>-81.584147999999999</v>
      </c>
      <c r="T854" s="11" t="s">
        <v>10340</v>
      </c>
      <c r="U854" s="11" t="s">
        <v>10341</v>
      </c>
      <c r="V854" s="17" t="s">
        <v>10342</v>
      </c>
      <c r="W854" s="17" t="s">
        <v>110</v>
      </c>
      <c r="X854" s="70"/>
      <c r="Y854" s="70"/>
      <c r="Z854" s="13">
        <v>27884</v>
      </c>
      <c r="AA854" s="13"/>
      <c r="AB854" s="13"/>
      <c r="AC854" s="13"/>
      <c r="AD854" s="86"/>
      <c r="AE854" s="70"/>
      <c r="AF854" s="70" t="s">
        <v>207</v>
      </c>
      <c r="AG854" s="14" t="s">
        <v>207</v>
      </c>
      <c r="AH854" s="14" t="s">
        <v>207</v>
      </c>
      <c r="AI854" s="70" t="s">
        <v>207</v>
      </c>
      <c r="AJ854" s="14" t="s">
        <v>207</v>
      </c>
      <c r="AK854" s="14" t="s">
        <v>207</v>
      </c>
      <c r="AL854" s="14" t="s">
        <v>207</v>
      </c>
      <c r="AM854" s="14" t="s">
        <v>207</v>
      </c>
      <c r="AN854" s="14" t="s">
        <v>207</v>
      </c>
      <c r="AO854" s="14" t="s">
        <v>207</v>
      </c>
      <c r="AP854" s="14" t="s">
        <v>207</v>
      </c>
      <c r="AQ854" s="14" t="s">
        <v>207</v>
      </c>
      <c r="AR854" s="14" t="s">
        <v>207</v>
      </c>
      <c r="AS854" s="14" t="s">
        <v>207</v>
      </c>
      <c r="AT854" s="14" t="s">
        <v>207</v>
      </c>
      <c r="AU854" s="30" t="s">
        <v>10343</v>
      </c>
      <c r="AV854" s="14" t="s">
        <v>207</v>
      </c>
      <c r="AW854" s="74"/>
      <c r="AX854" s="1"/>
      <c r="AY854" s="17" t="s">
        <v>101</v>
      </c>
    </row>
    <row r="855" spans="1:51" ht="12.75" customHeight="1" x14ac:dyDescent="0.25">
      <c r="A855" s="5">
        <v>820</v>
      </c>
      <c r="B855" s="9">
        <v>820</v>
      </c>
      <c r="C855" s="9" t="s">
        <v>10344</v>
      </c>
      <c r="D855" s="57" t="str">
        <f>HYPERLINK("http://prodenv.dep.state.fl.us/DepNexus/public/electronic-documents/OG_820/facility!search","OG_820_Docs")</f>
        <v>OG_820_Docs</v>
      </c>
      <c r="E855" s="57" t="str">
        <f>HYPERLINK("https://ca.dep.state.fl.us/mapdirect/?focus=oilandgas&amp;zoom=query&amp;querytype=oilandgas&amp;queryvalues=OG_820","OG_820_Map")</f>
        <v>OG_820_Map</v>
      </c>
      <c r="F855" s="1" t="s">
        <v>265</v>
      </c>
      <c r="G855" s="1" t="s">
        <v>79</v>
      </c>
      <c r="H855" s="1" t="s">
        <v>9855</v>
      </c>
      <c r="I855" s="1" t="s">
        <v>10345</v>
      </c>
      <c r="J855" s="17" t="s">
        <v>207</v>
      </c>
      <c r="K855" s="17" t="s">
        <v>208</v>
      </c>
      <c r="L855" s="17"/>
      <c r="M855" s="17" t="s">
        <v>207</v>
      </c>
      <c r="N855" s="52" t="s">
        <v>207</v>
      </c>
      <c r="O855" s="17" t="s">
        <v>270</v>
      </c>
      <c r="P855" s="17" t="s">
        <v>3395</v>
      </c>
      <c r="Q855" s="81" t="s">
        <v>10346</v>
      </c>
      <c r="R855" s="11">
        <v>25.859659000000001</v>
      </c>
      <c r="S855" s="11">
        <v>-81.161499000000006</v>
      </c>
      <c r="T855" s="11" t="s">
        <v>10347</v>
      </c>
      <c r="U855" s="11" t="s">
        <v>10348</v>
      </c>
      <c r="V855" s="17" t="s">
        <v>10349</v>
      </c>
      <c r="W855" s="17" t="s">
        <v>110</v>
      </c>
      <c r="X855" s="70"/>
      <c r="Y855" s="70"/>
      <c r="Z855" s="13">
        <v>27884</v>
      </c>
      <c r="AA855" s="13"/>
      <c r="AB855" s="13"/>
      <c r="AC855" s="13"/>
      <c r="AD855" s="86"/>
      <c r="AE855" s="70"/>
      <c r="AF855" s="70" t="s">
        <v>207</v>
      </c>
      <c r="AG855" s="14" t="s">
        <v>207</v>
      </c>
      <c r="AH855" s="14" t="s">
        <v>207</v>
      </c>
      <c r="AI855" s="70" t="s">
        <v>207</v>
      </c>
      <c r="AJ855" s="14" t="s">
        <v>207</v>
      </c>
      <c r="AK855" s="14" t="s">
        <v>207</v>
      </c>
      <c r="AL855" s="14" t="s">
        <v>207</v>
      </c>
      <c r="AM855" s="14" t="s">
        <v>207</v>
      </c>
      <c r="AN855" s="14" t="s">
        <v>207</v>
      </c>
      <c r="AO855" s="14" t="s">
        <v>207</v>
      </c>
      <c r="AP855" s="14" t="s">
        <v>207</v>
      </c>
      <c r="AQ855" s="14" t="s">
        <v>207</v>
      </c>
      <c r="AR855" s="14" t="s">
        <v>207</v>
      </c>
      <c r="AS855" s="14" t="s">
        <v>207</v>
      </c>
      <c r="AT855" s="14" t="s">
        <v>207</v>
      </c>
      <c r="AU855" s="30" t="s">
        <v>10350</v>
      </c>
      <c r="AV855" s="14" t="s">
        <v>207</v>
      </c>
      <c r="AW855" s="74"/>
      <c r="AX855" s="1"/>
      <c r="AY855" s="17" t="s">
        <v>101</v>
      </c>
    </row>
    <row r="856" spans="1:51" ht="12.75" customHeight="1" x14ac:dyDescent="0.25">
      <c r="A856" s="5">
        <v>821</v>
      </c>
      <c r="B856" s="9">
        <v>821</v>
      </c>
      <c r="C856" s="9" t="s">
        <v>10351</v>
      </c>
      <c r="D856" s="57" t="str">
        <f>HYPERLINK("http://prodenv.dep.state.fl.us/DepNexus/public/electronic-documents/OG_821/facility!search","OG_821_Docs")</f>
        <v>OG_821_Docs</v>
      </c>
      <c r="E856" s="57" t="str">
        <f>HYPERLINK("https://ca.dep.state.fl.us/mapdirect/?focus=oilandgas&amp;zoom=query&amp;querytype=oilandgas&amp;queryvalues=OG_821","OG_821_Map")</f>
        <v>OG_821_Map</v>
      </c>
      <c r="F856" s="1" t="s">
        <v>265</v>
      </c>
      <c r="G856" s="1" t="s">
        <v>7239</v>
      </c>
      <c r="H856" s="1" t="s">
        <v>8261</v>
      </c>
      <c r="I856" s="1" t="s">
        <v>10352</v>
      </c>
      <c r="J856" s="17" t="s">
        <v>82</v>
      </c>
      <c r="K856" s="17" t="s">
        <v>83</v>
      </c>
      <c r="L856" s="17"/>
      <c r="M856" s="17"/>
      <c r="N856" s="52" t="s">
        <v>5949</v>
      </c>
      <c r="O856" s="17" t="s">
        <v>270</v>
      </c>
      <c r="P856" s="17" t="s">
        <v>3395</v>
      </c>
      <c r="Q856" s="81" t="s">
        <v>10353</v>
      </c>
      <c r="R856" s="11">
        <v>26.233221</v>
      </c>
      <c r="S856" s="11">
        <v>-81.271224000000004</v>
      </c>
      <c r="T856" s="11" t="s">
        <v>10354</v>
      </c>
      <c r="U856" s="11" t="s">
        <v>10355</v>
      </c>
      <c r="V856" s="17" t="s">
        <v>10356</v>
      </c>
      <c r="W856" s="17"/>
      <c r="X856" s="70">
        <v>31.8</v>
      </c>
      <c r="Y856" s="70">
        <v>17.2</v>
      </c>
      <c r="Z856" s="13">
        <v>27884</v>
      </c>
      <c r="AA856" s="13">
        <v>27916</v>
      </c>
      <c r="AB856" s="13">
        <v>27948</v>
      </c>
      <c r="AC856" s="13">
        <v>27949</v>
      </c>
      <c r="AD856" s="86">
        <v>11659</v>
      </c>
      <c r="AE856" s="86">
        <v>11659</v>
      </c>
      <c r="AF856" s="70" t="s">
        <v>5896</v>
      </c>
      <c r="AG856" s="17" t="s">
        <v>10357</v>
      </c>
      <c r="AH856" s="17" t="s">
        <v>8057</v>
      </c>
      <c r="AI856" s="70" t="s">
        <v>94</v>
      </c>
      <c r="AJ856" s="17" t="s">
        <v>94</v>
      </c>
      <c r="AK856" s="17" t="s">
        <v>825</v>
      </c>
      <c r="AL856" s="17" t="s">
        <v>10358</v>
      </c>
      <c r="AM856" s="17" t="s">
        <v>95</v>
      </c>
      <c r="AN856" s="17" t="s">
        <v>10359</v>
      </c>
      <c r="AO856" s="17" t="s">
        <v>98</v>
      </c>
      <c r="AP856" s="17" t="s">
        <v>98</v>
      </c>
      <c r="AQ856" s="17" t="s">
        <v>98</v>
      </c>
      <c r="AR856" s="17" t="s">
        <v>94</v>
      </c>
      <c r="AS856" s="17" t="s">
        <v>10360</v>
      </c>
      <c r="AT856" s="17"/>
      <c r="AU856" s="30" t="s">
        <v>10361</v>
      </c>
      <c r="AV856" s="14">
        <v>13247</v>
      </c>
      <c r="AW856" s="74"/>
      <c r="AX856" s="1"/>
      <c r="AY856" s="17" t="s">
        <v>101</v>
      </c>
    </row>
    <row r="857" spans="1:51" ht="12.75" customHeight="1" x14ac:dyDescent="0.25">
      <c r="A857" s="5">
        <v>822</v>
      </c>
      <c r="B857" s="9">
        <v>822</v>
      </c>
      <c r="C857" s="9" t="s">
        <v>10362</v>
      </c>
      <c r="D857" s="57" t="str">
        <f>HYPERLINK("http://prodenv.dep.state.fl.us/DepNexus/public/electronic-documents/OG_822/facility!search","OG_822_Docs")</f>
        <v>OG_822_Docs</v>
      </c>
      <c r="E857" s="57" t="str">
        <f>HYPERLINK("https://ca.dep.state.fl.us/mapdirect/?focus=oilandgas&amp;zoom=query&amp;querytype=oilandgas&amp;queryvalues=OG_822","OG_822_Map")</f>
        <v>OG_822_Map</v>
      </c>
      <c r="F857" s="1" t="s">
        <v>265</v>
      </c>
      <c r="G857" s="1" t="s">
        <v>7239</v>
      </c>
      <c r="H857" s="1" t="s">
        <v>8318</v>
      </c>
      <c r="I857" s="1" t="s">
        <v>10363</v>
      </c>
      <c r="J857" s="17" t="s">
        <v>268</v>
      </c>
      <c r="K857" s="17" t="s">
        <v>5048</v>
      </c>
      <c r="L857" s="17"/>
      <c r="M857" s="17"/>
      <c r="N857" s="52" t="s">
        <v>10364</v>
      </c>
      <c r="O857" s="17" t="s">
        <v>270</v>
      </c>
      <c r="P857" s="17" t="s">
        <v>3395</v>
      </c>
      <c r="Q857" s="81" t="s">
        <v>10120</v>
      </c>
      <c r="R857" s="11">
        <v>26.248051</v>
      </c>
      <c r="S857" s="11">
        <v>-81.304719000000006</v>
      </c>
      <c r="T857" s="11" t="s">
        <v>10365</v>
      </c>
      <c r="U857" s="11" t="s">
        <v>10366</v>
      </c>
      <c r="V857" s="17" t="s">
        <v>10367</v>
      </c>
      <c r="W857" s="17" t="s">
        <v>10368</v>
      </c>
      <c r="X857" s="70">
        <v>36</v>
      </c>
      <c r="Y857" s="70">
        <v>19</v>
      </c>
      <c r="Z857" s="13">
        <v>27884</v>
      </c>
      <c r="AA857" s="13">
        <v>28129</v>
      </c>
      <c r="AB857" s="13">
        <v>28227</v>
      </c>
      <c r="AC857" s="13">
        <v>37299</v>
      </c>
      <c r="AD857" s="86">
        <v>11604</v>
      </c>
      <c r="AE857" s="86">
        <v>12248</v>
      </c>
      <c r="AF857" s="70" t="s">
        <v>10369</v>
      </c>
      <c r="AG857" s="17" t="s">
        <v>10370</v>
      </c>
      <c r="AH857" s="17" t="s">
        <v>10371</v>
      </c>
      <c r="AI857" s="70" t="s">
        <v>10372</v>
      </c>
      <c r="AJ857" s="17" t="s">
        <v>10373</v>
      </c>
      <c r="AK857" s="17" t="s">
        <v>94</v>
      </c>
      <c r="AL857" s="17" t="s">
        <v>10374</v>
      </c>
      <c r="AM857" s="17" t="s">
        <v>95</v>
      </c>
      <c r="AN857" s="17" t="s">
        <v>94</v>
      </c>
      <c r="AO857" s="17" t="s">
        <v>9096</v>
      </c>
      <c r="AP857" s="17" t="s">
        <v>4176</v>
      </c>
      <c r="AQ857" s="17" t="s">
        <v>10375</v>
      </c>
      <c r="AR857" s="17" t="s">
        <v>10376</v>
      </c>
      <c r="AS857" s="17" t="s">
        <v>10377</v>
      </c>
      <c r="AT857" s="17">
        <v>172</v>
      </c>
      <c r="AU857" s="30" t="s">
        <v>10378</v>
      </c>
      <c r="AV857" s="14">
        <v>13508</v>
      </c>
      <c r="AW857" s="74"/>
      <c r="AX857" s="1"/>
      <c r="AY857" s="17" t="s">
        <v>101</v>
      </c>
    </row>
    <row r="858" spans="1:51" ht="12.75" customHeight="1" x14ac:dyDescent="0.25">
      <c r="A858" s="5">
        <v>823</v>
      </c>
      <c r="B858" s="9">
        <v>823</v>
      </c>
      <c r="C858" s="9" t="s">
        <v>10379</v>
      </c>
      <c r="D858" s="57" t="str">
        <f>HYPERLINK("http://prodenv.dep.state.fl.us/DepNexus/public/electronic-documents/OG_823/facility!search","OG_823_Docs")</f>
        <v>OG_823_Docs</v>
      </c>
      <c r="E858" s="57" t="str">
        <f>HYPERLINK("https://ca.dep.state.fl.us/mapdirect/?focus=oilandgas&amp;zoom=query&amp;querytype=oilandgas&amp;queryvalues=OG_823","OG_823_Map")</f>
        <v>OG_823_Map</v>
      </c>
      <c r="F858" s="1" t="s">
        <v>265</v>
      </c>
      <c r="G858" s="1" t="s">
        <v>7239</v>
      </c>
      <c r="H858" s="1" t="s">
        <v>8318</v>
      </c>
      <c r="I858" s="1" t="s">
        <v>10380</v>
      </c>
      <c r="J858" s="17" t="s">
        <v>268</v>
      </c>
      <c r="K858" s="17" t="s">
        <v>6671</v>
      </c>
      <c r="L858" s="17"/>
      <c r="M858" s="17"/>
      <c r="N858" s="52" t="s">
        <v>4735</v>
      </c>
      <c r="O858" s="17" t="s">
        <v>270</v>
      </c>
      <c r="P858" s="17" t="s">
        <v>3395</v>
      </c>
      <c r="Q858" s="81" t="s">
        <v>10381</v>
      </c>
      <c r="R858" s="11">
        <v>26.248116</v>
      </c>
      <c r="S858" s="11">
        <v>-81.304507000000001</v>
      </c>
      <c r="T858" s="11" t="s">
        <v>10382</v>
      </c>
      <c r="U858" s="11" t="s">
        <v>10383</v>
      </c>
      <c r="V858" s="17" t="s">
        <v>10384</v>
      </c>
      <c r="W858" s="17" t="s">
        <v>10385</v>
      </c>
      <c r="X858" s="70">
        <v>34.299999999999997</v>
      </c>
      <c r="Y858" s="70">
        <v>18.8</v>
      </c>
      <c r="Z858" s="13">
        <v>28068</v>
      </c>
      <c r="AA858" s="13">
        <v>28191</v>
      </c>
      <c r="AB858" s="13"/>
      <c r="AC858" s="13">
        <v>32605</v>
      </c>
      <c r="AD858" s="86">
        <v>11610</v>
      </c>
      <c r="AE858" s="86">
        <v>12180</v>
      </c>
      <c r="AF858" s="70" t="s">
        <v>10386</v>
      </c>
      <c r="AG858" s="17" t="s">
        <v>4385</v>
      </c>
      <c r="AH858" s="17" t="s">
        <v>10387</v>
      </c>
      <c r="AI858" s="70" t="s">
        <v>10388</v>
      </c>
      <c r="AJ858" s="17" t="s">
        <v>94</v>
      </c>
      <c r="AK858" s="17" t="s">
        <v>825</v>
      </c>
      <c r="AL858" s="17" t="s">
        <v>10389</v>
      </c>
      <c r="AM858" s="17" t="s">
        <v>94</v>
      </c>
      <c r="AN858" s="17" t="s">
        <v>94</v>
      </c>
      <c r="AO858" s="17" t="s">
        <v>94</v>
      </c>
      <c r="AP858" s="17" t="s">
        <v>94</v>
      </c>
      <c r="AQ858" s="17" t="s">
        <v>94</v>
      </c>
      <c r="AR858" s="17" t="s">
        <v>10390</v>
      </c>
      <c r="AS858" s="17" t="s">
        <v>10391</v>
      </c>
      <c r="AT858" s="17">
        <v>178</v>
      </c>
      <c r="AU858" s="30" t="s">
        <v>10392</v>
      </c>
      <c r="AV858" s="14">
        <v>13709</v>
      </c>
      <c r="AW858" s="74"/>
      <c r="AX858" s="1" t="s">
        <v>10393</v>
      </c>
      <c r="AY858" s="17" t="s">
        <v>101</v>
      </c>
    </row>
    <row r="859" spans="1:51" ht="15" customHeight="1" x14ac:dyDescent="0.25">
      <c r="A859" s="5">
        <v>824</v>
      </c>
      <c r="B859" s="9">
        <v>824</v>
      </c>
      <c r="C859" s="9" t="s">
        <v>10394</v>
      </c>
      <c r="D859" s="57" t="str">
        <f>HYPERLINK("http://prodenv.dep.state.fl.us/DepNexus/public/electronic-documents/OG_824/facility!search","OG_824_Docs")</f>
        <v>OG_824_Docs</v>
      </c>
      <c r="E859" s="57" t="str">
        <f>HYPERLINK("https://ca.dep.state.fl.us/mapdirect/?focus=oilandgas&amp;zoom=query&amp;querytype=oilandgas&amp;queryvalues=OG_824","OG_824_Map")</f>
        <v>OG_824_Map</v>
      </c>
      <c r="F859" s="1" t="s">
        <v>265</v>
      </c>
      <c r="G859" s="1" t="s">
        <v>7239</v>
      </c>
      <c r="H859" s="1" t="s">
        <v>8261</v>
      </c>
      <c r="I859" s="1" t="s">
        <v>10395</v>
      </c>
      <c r="J859" s="17" t="s">
        <v>268</v>
      </c>
      <c r="K859" s="17" t="s">
        <v>412</v>
      </c>
      <c r="L859" s="17"/>
      <c r="M859" s="17"/>
      <c r="N859" s="52" t="s">
        <v>10396</v>
      </c>
      <c r="O859" s="17" t="s">
        <v>270</v>
      </c>
      <c r="P859" s="17" t="s">
        <v>3395</v>
      </c>
      <c r="Q859" s="81" t="s">
        <v>10397</v>
      </c>
      <c r="R859" s="11">
        <v>26.227388999999999</v>
      </c>
      <c r="S859" s="11">
        <v>-81.285211000000004</v>
      </c>
      <c r="T859" s="11" t="s">
        <v>10398</v>
      </c>
      <c r="U859" s="11" t="s">
        <v>10399</v>
      </c>
      <c r="V859" s="17" t="s">
        <v>10400</v>
      </c>
      <c r="W859" s="17" t="s">
        <v>10401</v>
      </c>
      <c r="X859" s="70">
        <v>33</v>
      </c>
      <c r="Y859" s="70">
        <v>18</v>
      </c>
      <c r="Z859" s="13">
        <v>27884</v>
      </c>
      <c r="AA859" s="13">
        <v>27960</v>
      </c>
      <c r="AB859" s="13">
        <v>28236</v>
      </c>
      <c r="AC859" s="13">
        <v>33507</v>
      </c>
      <c r="AD859" s="86">
        <v>11616</v>
      </c>
      <c r="AE859" s="86">
        <v>11754</v>
      </c>
      <c r="AF859" s="70" t="s">
        <v>10402</v>
      </c>
      <c r="AG859" s="17" t="s">
        <v>10403</v>
      </c>
      <c r="AH859" s="17" t="s">
        <v>10404</v>
      </c>
      <c r="AI859" s="70" t="s">
        <v>10405</v>
      </c>
      <c r="AJ859" s="17" t="s">
        <v>10406</v>
      </c>
      <c r="AK859" s="17" t="s">
        <v>95</v>
      </c>
      <c r="AL859" s="17" t="s">
        <v>10407</v>
      </c>
      <c r="AM859" s="17" t="s">
        <v>95</v>
      </c>
      <c r="AN859" s="17" t="s">
        <v>86</v>
      </c>
      <c r="AO859" s="17" t="s">
        <v>10408</v>
      </c>
      <c r="AP859" s="17" t="s">
        <v>5061</v>
      </c>
      <c r="AQ859" s="17" t="s">
        <v>6232</v>
      </c>
      <c r="AR859" s="17" t="s">
        <v>10409</v>
      </c>
      <c r="AS859" s="17" t="s">
        <v>10410</v>
      </c>
      <c r="AT859" s="17">
        <v>168</v>
      </c>
      <c r="AU859" s="30" t="s">
        <v>10411</v>
      </c>
      <c r="AV859" s="14">
        <v>13484</v>
      </c>
      <c r="AW859" s="74"/>
      <c r="AX859" s="1" t="s">
        <v>10412</v>
      </c>
      <c r="AY859" s="17" t="s">
        <v>101</v>
      </c>
    </row>
    <row r="860" spans="1:51" ht="15" customHeight="1" x14ac:dyDescent="0.25">
      <c r="A860" s="5">
        <v>825</v>
      </c>
      <c r="B860" s="9">
        <v>825</v>
      </c>
      <c r="C860" s="9" t="s">
        <v>10413</v>
      </c>
      <c r="D860" s="57" t="str">
        <f>HYPERLINK("http://prodenv.dep.state.fl.us/DepNexus/public/electronic-documents/OG_825/facility!search","OG_825_Docs")</f>
        <v>OG_825_Docs</v>
      </c>
      <c r="E860" s="57" t="str">
        <f>HYPERLINK("https://ca.dep.state.fl.us/mapdirect/?focus=oilandgas&amp;zoom=query&amp;querytype=oilandgas&amp;queryvalues=OG_825","OG_825_Map")</f>
        <v>OG_825_Map</v>
      </c>
      <c r="F860" s="1" t="s">
        <v>265</v>
      </c>
      <c r="G860" s="1" t="s">
        <v>7239</v>
      </c>
      <c r="H860" s="1" t="s">
        <v>8318</v>
      </c>
      <c r="I860" s="1" t="s">
        <v>10414</v>
      </c>
      <c r="J860" s="17" t="s">
        <v>268</v>
      </c>
      <c r="K860" s="17" t="s">
        <v>6671</v>
      </c>
      <c r="L860" s="17"/>
      <c r="M860" s="17"/>
      <c r="N860" s="52" t="s">
        <v>10415</v>
      </c>
      <c r="O860" s="17" t="s">
        <v>270</v>
      </c>
      <c r="P860" s="17" t="s">
        <v>3395</v>
      </c>
      <c r="Q860" s="81" t="s">
        <v>10416</v>
      </c>
      <c r="R860" s="11">
        <v>26.219276000000001</v>
      </c>
      <c r="S860" s="11">
        <v>-81.285672000000005</v>
      </c>
      <c r="T860" s="11" t="s">
        <v>10417</v>
      </c>
      <c r="U860" s="11" t="s">
        <v>10418</v>
      </c>
      <c r="V860" s="17" t="s">
        <v>10419</v>
      </c>
      <c r="W860" s="17" t="s">
        <v>110</v>
      </c>
      <c r="X860" s="70">
        <v>43.1</v>
      </c>
      <c r="Y860" s="70">
        <v>17.2</v>
      </c>
      <c r="Z860" s="13">
        <v>27884</v>
      </c>
      <c r="AA860" s="13">
        <v>28390</v>
      </c>
      <c r="AB860" s="13">
        <v>28703</v>
      </c>
      <c r="AC860" s="13">
        <v>33478</v>
      </c>
      <c r="AD860" s="86">
        <v>11636</v>
      </c>
      <c r="AE860" s="86">
        <v>11636</v>
      </c>
      <c r="AF860" s="70" t="s">
        <v>5267</v>
      </c>
      <c r="AG860" s="17" t="s">
        <v>10420</v>
      </c>
      <c r="AH860" s="17" t="s">
        <v>10421</v>
      </c>
      <c r="AI860" s="70" t="s">
        <v>10422</v>
      </c>
      <c r="AJ860" s="17" t="s">
        <v>10423</v>
      </c>
      <c r="AK860" s="17" t="s">
        <v>95</v>
      </c>
      <c r="AL860" s="17" t="s">
        <v>10424</v>
      </c>
      <c r="AM860" s="17" t="s">
        <v>95</v>
      </c>
      <c r="AN860" s="17"/>
      <c r="AO860" s="17"/>
      <c r="AP860" s="17"/>
      <c r="AQ860" s="17"/>
      <c r="AR860" s="17" t="s">
        <v>10425</v>
      </c>
      <c r="AS860" s="17" t="s">
        <v>10426</v>
      </c>
      <c r="AT860" s="17"/>
      <c r="AU860" s="30" t="s">
        <v>10427</v>
      </c>
      <c r="AV860" s="14">
        <v>13749</v>
      </c>
      <c r="AW860" s="74"/>
      <c r="AX860" s="1" t="s">
        <v>10428</v>
      </c>
      <c r="AY860" s="17" t="s">
        <v>101</v>
      </c>
    </row>
    <row r="861" spans="1:51" ht="15" customHeight="1" x14ac:dyDescent="0.25">
      <c r="A861" s="5">
        <v>826</v>
      </c>
      <c r="B861" s="9">
        <v>826</v>
      </c>
      <c r="C861" s="9" t="s">
        <v>10429</v>
      </c>
      <c r="D861" s="57" t="str">
        <f>HYPERLINK("http://prodenv.dep.state.fl.us/DepNexus/public/electronic-documents/OG_826/facility!search","OG_826_Docs")</f>
        <v>OG_826_Docs</v>
      </c>
      <c r="E861" s="57" t="str">
        <f>HYPERLINK("https://ca.dep.state.fl.us/mapdirect/?focus=oilandgas&amp;zoom=query&amp;querytype=oilandgas&amp;queryvalues=OG_826","OG_826_Map")</f>
        <v>OG_826_Map</v>
      </c>
      <c r="F861" s="1" t="s">
        <v>265</v>
      </c>
      <c r="G861" s="1" t="s">
        <v>7239</v>
      </c>
      <c r="H861" s="1" t="s">
        <v>8261</v>
      </c>
      <c r="I861" s="1" t="s">
        <v>10430</v>
      </c>
      <c r="J861" s="17" t="s">
        <v>207</v>
      </c>
      <c r="K861" s="17" t="s">
        <v>208</v>
      </c>
      <c r="L861" s="17"/>
      <c r="M861" s="17" t="s">
        <v>207</v>
      </c>
      <c r="N861" s="52" t="s">
        <v>207</v>
      </c>
      <c r="O861" s="17" t="s">
        <v>270</v>
      </c>
      <c r="P861" s="17" t="s">
        <v>3395</v>
      </c>
      <c r="Q861" s="81" t="s">
        <v>8263</v>
      </c>
      <c r="R861" s="11">
        <v>26.216204999999999</v>
      </c>
      <c r="S861" s="11">
        <v>-81.280320000000003</v>
      </c>
      <c r="T861" s="11" t="s">
        <v>10431</v>
      </c>
      <c r="U861" s="11" t="s">
        <v>10432</v>
      </c>
      <c r="V861" s="17" t="s">
        <v>10433</v>
      </c>
      <c r="W861" s="17" t="s">
        <v>110</v>
      </c>
      <c r="X861" s="70"/>
      <c r="Y861" s="70"/>
      <c r="Z861" s="13">
        <v>27884</v>
      </c>
      <c r="AA861" s="13"/>
      <c r="AB861" s="13"/>
      <c r="AC861" s="13"/>
      <c r="AD861" s="86"/>
      <c r="AE861" s="70"/>
      <c r="AF861" s="70" t="s">
        <v>207</v>
      </c>
      <c r="AG861" s="14" t="s">
        <v>207</v>
      </c>
      <c r="AH861" s="14" t="s">
        <v>207</v>
      </c>
      <c r="AI861" s="70" t="s">
        <v>207</v>
      </c>
      <c r="AJ861" s="14" t="s">
        <v>207</v>
      </c>
      <c r="AK861" s="14" t="s">
        <v>207</v>
      </c>
      <c r="AL861" s="14" t="s">
        <v>207</v>
      </c>
      <c r="AM861" s="14" t="s">
        <v>207</v>
      </c>
      <c r="AN861" s="14" t="s">
        <v>207</v>
      </c>
      <c r="AO861" s="14" t="s">
        <v>207</v>
      </c>
      <c r="AP861" s="14" t="s">
        <v>207</v>
      </c>
      <c r="AQ861" s="14" t="s">
        <v>207</v>
      </c>
      <c r="AR861" s="14" t="s">
        <v>207</v>
      </c>
      <c r="AS861" s="14" t="s">
        <v>207</v>
      </c>
      <c r="AT861" s="14" t="s">
        <v>207</v>
      </c>
      <c r="AU861" s="30" t="s">
        <v>10434</v>
      </c>
      <c r="AV861" s="14" t="s">
        <v>207</v>
      </c>
      <c r="AW861" s="74"/>
      <c r="AX861" s="1"/>
      <c r="AY861" s="17" t="s">
        <v>101</v>
      </c>
    </row>
    <row r="862" spans="1:51" ht="15" customHeight="1" x14ac:dyDescent="0.25">
      <c r="A862" s="5">
        <v>827</v>
      </c>
      <c r="B862" s="9">
        <v>827</v>
      </c>
      <c r="C862" s="9" t="s">
        <v>10435</v>
      </c>
      <c r="D862" s="57" t="str">
        <f>HYPERLINK("http://prodenv.dep.state.fl.us/DepNexus/public/electronic-documents/OG_827/facility!search","OG_827_Docs")</f>
        <v>OG_827_Docs</v>
      </c>
      <c r="E862" s="57" t="str">
        <f>HYPERLINK("https://ca.dep.state.fl.us/mapdirect/?focus=oilandgas&amp;zoom=query&amp;querytype=oilandgas&amp;queryvalues=OG_827","OG_827_Map")</f>
        <v>OG_827_Map</v>
      </c>
      <c r="F862" s="1" t="s">
        <v>265</v>
      </c>
      <c r="G862" s="1" t="s">
        <v>7239</v>
      </c>
      <c r="H862" s="1" t="s">
        <v>8261</v>
      </c>
      <c r="I862" s="1" t="s">
        <v>10436</v>
      </c>
      <c r="J862" s="17" t="s">
        <v>268</v>
      </c>
      <c r="K862" s="17" t="s">
        <v>412</v>
      </c>
      <c r="L862" s="17"/>
      <c r="M862" s="17"/>
      <c r="N862" s="52" t="s">
        <v>86</v>
      </c>
      <c r="O862" s="17" t="s">
        <v>270</v>
      </c>
      <c r="P862" s="17" t="s">
        <v>86</v>
      </c>
      <c r="Q862" s="81" t="s">
        <v>10437</v>
      </c>
      <c r="R862" s="11">
        <v>26.258680999999999</v>
      </c>
      <c r="S862" s="11">
        <v>-81.304108999999997</v>
      </c>
      <c r="T862" s="11" t="s">
        <v>10438</v>
      </c>
      <c r="U862" s="11" t="s">
        <v>10439</v>
      </c>
      <c r="V862" s="17" t="s">
        <v>10440</v>
      </c>
      <c r="W862" s="17" t="s">
        <v>10441</v>
      </c>
      <c r="X862" s="70">
        <v>44</v>
      </c>
      <c r="Y862" s="70">
        <v>18.3</v>
      </c>
      <c r="Z862" s="13">
        <v>27884</v>
      </c>
      <c r="AA862" s="13">
        <v>28113</v>
      </c>
      <c r="AB862" s="13">
        <v>28227</v>
      </c>
      <c r="AC862" s="13">
        <v>33242</v>
      </c>
      <c r="AD862" s="86">
        <v>11713</v>
      </c>
      <c r="AE862" s="86">
        <v>11855</v>
      </c>
      <c r="AF862" s="70" t="s">
        <v>7888</v>
      </c>
      <c r="AG862" s="17" t="s">
        <v>9563</v>
      </c>
      <c r="AH862" s="17" t="s">
        <v>10442</v>
      </c>
      <c r="AI862" s="70" t="s">
        <v>10443</v>
      </c>
      <c r="AJ862" s="17" t="s">
        <v>10444</v>
      </c>
      <c r="AK862" s="17" t="s">
        <v>95</v>
      </c>
      <c r="AL862" s="17" t="s">
        <v>10445</v>
      </c>
      <c r="AM862" s="17"/>
      <c r="AN862" s="17" t="s">
        <v>825</v>
      </c>
      <c r="AO862" s="17" t="s">
        <v>10446</v>
      </c>
      <c r="AP862" s="17" t="s">
        <v>4176</v>
      </c>
      <c r="AQ862" s="17" t="s">
        <v>10447</v>
      </c>
      <c r="AR862" s="17" t="s">
        <v>10448</v>
      </c>
      <c r="AS862" s="17" t="s">
        <v>10449</v>
      </c>
      <c r="AT862" s="17"/>
      <c r="AU862" s="30" t="s">
        <v>10450</v>
      </c>
      <c r="AV862" s="14">
        <v>13509</v>
      </c>
      <c r="AW862" s="74"/>
      <c r="AX862" s="1"/>
      <c r="AY862" s="17" t="s">
        <v>101</v>
      </c>
    </row>
    <row r="863" spans="1:51" ht="12.75" customHeight="1" x14ac:dyDescent="0.25">
      <c r="A863" s="5">
        <v>828</v>
      </c>
      <c r="B863" s="9">
        <v>828</v>
      </c>
      <c r="C863" s="9" t="s">
        <v>10451</v>
      </c>
      <c r="D863" s="57" t="str">
        <f>HYPERLINK("http://prodenv.dep.state.fl.us/DepNexus/public/electronic-documents/OG_828/facility!search","OG_828_Docs")</f>
        <v>OG_828_Docs</v>
      </c>
      <c r="E863" s="57" t="str">
        <f>HYPERLINK("https://ca.dep.state.fl.us/mapdirect/?focus=oilandgas&amp;zoom=query&amp;querytype=oilandgas&amp;queryvalues=OG_828","OG_828_Map")</f>
        <v>OG_828_Map</v>
      </c>
      <c r="F863" s="1" t="s">
        <v>265</v>
      </c>
      <c r="G863" s="1" t="s">
        <v>10452</v>
      </c>
      <c r="H863" s="1" t="s">
        <v>8261</v>
      </c>
      <c r="I863" s="1" t="s">
        <v>10453</v>
      </c>
      <c r="J863" s="17" t="s">
        <v>207</v>
      </c>
      <c r="K863" s="17" t="s">
        <v>208</v>
      </c>
      <c r="L863" s="17"/>
      <c r="M863" s="17" t="s">
        <v>207</v>
      </c>
      <c r="N863" s="52" t="s">
        <v>207</v>
      </c>
      <c r="O863" s="17" t="s">
        <v>270</v>
      </c>
      <c r="P863" s="17" t="s">
        <v>3395</v>
      </c>
      <c r="Q863" s="81" t="s">
        <v>10454</v>
      </c>
      <c r="R863" s="11">
        <v>25.982351999999999</v>
      </c>
      <c r="S863" s="11">
        <v>-80.925580999999994</v>
      </c>
      <c r="T863" s="11" t="s">
        <v>10455</v>
      </c>
      <c r="U863" s="11" t="s">
        <v>10456</v>
      </c>
      <c r="V863" s="17" t="s">
        <v>10457</v>
      </c>
      <c r="W863" s="17" t="s">
        <v>110</v>
      </c>
      <c r="X863" s="70"/>
      <c r="Y863" s="70"/>
      <c r="Z863" s="13">
        <v>27898</v>
      </c>
      <c r="AA863" s="13"/>
      <c r="AB863" s="13"/>
      <c r="AC863" s="13"/>
      <c r="AD863" s="86"/>
      <c r="AE863" s="70"/>
      <c r="AF863" s="70" t="s">
        <v>207</v>
      </c>
      <c r="AG863" s="14" t="s">
        <v>207</v>
      </c>
      <c r="AH863" s="14" t="s">
        <v>207</v>
      </c>
      <c r="AI863" s="70" t="s">
        <v>207</v>
      </c>
      <c r="AJ863" s="14" t="s">
        <v>207</v>
      </c>
      <c r="AK863" s="14" t="s">
        <v>207</v>
      </c>
      <c r="AL863" s="14" t="s">
        <v>207</v>
      </c>
      <c r="AM863" s="14" t="s">
        <v>207</v>
      </c>
      <c r="AN863" s="14" t="s">
        <v>207</v>
      </c>
      <c r="AO863" s="14" t="s">
        <v>207</v>
      </c>
      <c r="AP863" s="14" t="s">
        <v>207</v>
      </c>
      <c r="AQ863" s="14" t="s">
        <v>207</v>
      </c>
      <c r="AR863" s="14" t="s">
        <v>207</v>
      </c>
      <c r="AS863" s="14" t="s">
        <v>207</v>
      </c>
      <c r="AT863" s="14" t="s">
        <v>207</v>
      </c>
      <c r="AU863" s="30" t="s">
        <v>10458</v>
      </c>
      <c r="AV863" s="14" t="s">
        <v>207</v>
      </c>
      <c r="AW863" s="74"/>
      <c r="AX863" s="1"/>
      <c r="AY863" s="17" t="s">
        <v>101</v>
      </c>
    </row>
    <row r="864" spans="1:51" ht="15" customHeight="1" x14ac:dyDescent="0.25">
      <c r="A864" s="5">
        <v>829</v>
      </c>
      <c r="B864" s="9">
        <v>829</v>
      </c>
      <c r="C864" s="9" t="s">
        <v>10459</v>
      </c>
      <c r="D864" s="57" t="str">
        <f>HYPERLINK("http://prodenv.dep.state.fl.us/DepNexus/public/electronic-documents/OG_829/facility!search","OG_829_Docs")</f>
        <v>OG_829_Docs</v>
      </c>
      <c r="E864" s="57" t="str">
        <f>HYPERLINK("https://ca.dep.state.fl.us/mapdirect/?focus=oilandgas&amp;zoom=query&amp;querytype=oilandgas&amp;queryvalues=OG_829","OG_829_Map")</f>
        <v>OG_829_Map</v>
      </c>
      <c r="F864" s="1" t="s">
        <v>265</v>
      </c>
      <c r="G864" s="1" t="s">
        <v>10452</v>
      </c>
      <c r="H864" s="1" t="s">
        <v>8261</v>
      </c>
      <c r="I864" s="1" t="s">
        <v>10460</v>
      </c>
      <c r="J864" s="17" t="s">
        <v>268</v>
      </c>
      <c r="K864" s="17" t="s">
        <v>412</v>
      </c>
      <c r="L864" s="17"/>
      <c r="M864" s="17" t="s">
        <v>101</v>
      </c>
      <c r="N864" s="52" t="s">
        <v>7568</v>
      </c>
      <c r="O864" s="17" t="s">
        <v>270</v>
      </c>
      <c r="P864" s="17" t="s">
        <v>3395</v>
      </c>
      <c r="Q864" s="81" t="s">
        <v>10454</v>
      </c>
      <c r="R864" s="11">
        <v>25.982607000000002</v>
      </c>
      <c r="S864" s="11">
        <v>-80.925612999999998</v>
      </c>
      <c r="T864" s="11" t="s">
        <v>10461</v>
      </c>
      <c r="U864" s="11" t="s">
        <v>10462</v>
      </c>
      <c r="V864" s="17" t="s">
        <v>10463</v>
      </c>
      <c r="W864" s="17" t="s">
        <v>110</v>
      </c>
      <c r="X864" s="70">
        <v>38</v>
      </c>
      <c r="Y864" s="70">
        <v>12</v>
      </c>
      <c r="Z864" s="13">
        <v>27898</v>
      </c>
      <c r="AA864" s="13">
        <v>28238</v>
      </c>
      <c r="AB864" s="13">
        <v>28301</v>
      </c>
      <c r="AC864" s="13">
        <v>33560</v>
      </c>
      <c r="AD864" s="86">
        <v>11658</v>
      </c>
      <c r="AE864" s="86">
        <v>11658</v>
      </c>
      <c r="AF864" s="70" t="s">
        <v>10464</v>
      </c>
      <c r="AG864" s="17" t="s">
        <v>10465</v>
      </c>
      <c r="AH864" s="17" t="s">
        <v>10466</v>
      </c>
      <c r="AI864" s="70" t="s">
        <v>10467</v>
      </c>
      <c r="AJ864" s="17" t="s">
        <v>10468</v>
      </c>
      <c r="AK864" s="17" t="s">
        <v>95</v>
      </c>
      <c r="AL864" s="17" t="s">
        <v>10469</v>
      </c>
      <c r="AM864" s="17" t="s">
        <v>95</v>
      </c>
      <c r="AN864" s="17" t="s">
        <v>825</v>
      </c>
      <c r="AO864" s="17" t="s">
        <v>10470</v>
      </c>
      <c r="AP864" s="17" t="s">
        <v>5061</v>
      </c>
      <c r="AQ864" s="17" t="s">
        <v>10471</v>
      </c>
      <c r="AR864" s="17" t="s">
        <v>10472</v>
      </c>
      <c r="AS864" s="17" t="s">
        <v>10473</v>
      </c>
      <c r="AT864" s="17">
        <v>174</v>
      </c>
      <c r="AU864" s="30" t="s">
        <v>10474</v>
      </c>
      <c r="AV864" s="14">
        <v>13561</v>
      </c>
      <c r="AW864" s="74"/>
      <c r="AX864" s="39" t="s">
        <v>10475</v>
      </c>
      <c r="AY864" s="17" t="s">
        <v>101</v>
      </c>
    </row>
    <row r="865" spans="1:51" ht="12.75" customHeight="1" x14ac:dyDescent="0.25">
      <c r="A865" s="5">
        <v>830</v>
      </c>
      <c r="B865" s="9">
        <v>830</v>
      </c>
      <c r="C865" s="9" t="s">
        <v>10476</v>
      </c>
      <c r="D865" s="57" t="str">
        <f>HYPERLINK("http://prodenv.dep.state.fl.us/DepNexus/public/electronic-documents/OG_830/facility!search","OG_830_Docs")</f>
        <v>OG_830_Docs</v>
      </c>
      <c r="E865" s="57" t="str">
        <f>HYPERLINK("https://ca.dep.state.fl.us/mapdirect/?focus=oilandgas&amp;zoom=query&amp;querytype=oilandgas&amp;queryvalues=OG_830","OG_830_Map")</f>
        <v>OG_830_Map</v>
      </c>
      <c r="F865" s="1" t="s">
        <v>1752</v>
      </c>
      <c r="G865" s="1" t="s">
        <v>8522</v>
      </c>
      <c r="H865" s="1" t="s">
        <v>9903</v>
      </c>
      <c r="I865" s="1" t="s">
        <v>10477</v>
      </c>
      <c r="J865" s="17" t="s">
        <v>268</v>
      </c>
      <c r="K865" s="17" t="s">
        <v>412</v>
      </c>
      <c r="L865" s="17"/>
      <c r="M865" s="17"/>
      <c r="N865" s="52" t="s">
        <v>5949</v>
      </c>
      <c r="O865" s="17" t="s">
        <v>270</v>
      </c>
      <c r="P865" s="17" t="s">
        <v>86</v>
      </c>
      <c r="Q865" s="81" t="s">
        <v>10478</v>
      </c>
      <c r="R865" s="11">
        <v>26.303654000000002</v>
      </c>
      <c r="S865" s="11">
        <v>-81.087331000000006</v>
      </c>
      <c r="T865" s="11" t="s">
        <v>10479</v>
      </c>
      <c r="U865" s="11" t="s">
        <v>10480</v>
      </c>
      <c r="V865" s="17" t="s">
        <v>10481</v>
      </c>
      <c r="W865" s="17" t="s">
        <v>110</v>
      </c>
      <c r="X865" s="70">
        <v>38</v>
      </c>
      <c r="Y865" s="70"/>
      <c r="Z865" s="13">
        <v>27884</v>
      </c>
      <c r="AA865" s="13">
        <v>28154</v>
      </c>
      <c r="AB865" s="13">
        <v>28322</v>
      </c>
      <c r="AC865" s="13">
        <v>28957</v>
      </c>
      <c r="AD865" s="86">
        <v>11654</v>
      </c>
      <c r="AE865" s="86">
        <v>11654</v>
      </c>
      <c r="AF865" s="70" t="s">
        <v>9161</v>
      </c>
      <c r="AG865" s="17" t="s">
        <v>10482</v>
      </c>
      <c r="AH865" s="17" t="s">
        <v>10483</v>
      </c>
      <c r="AI865" s="70" t="s">
        <v>10484</v>
      </c>
      <c r="AJ865" s="17" t="s">
        <v>10485</v>
      </c>
      <c r="AK865" s="17" t="s">
        <v>95</v>
      </c>
      <c r="AL865" s="17" t="s">
        <v>10486</v>
      </c>
      <c r="AM865" s="17" t="s">
        <v>94</v>
      </c>
      <c r="AN865" s="17" t="s">
        <v>825</v>
      </c>
      <c r="AO865" s="17" t="s">
        <v>10487</v>
      </c>
      <c r="AP865" s="17" t="s">
        <v>4176</v>
      </c>
      <c r="AQ865" s="17" t="s">
        <v>10488</v>
      </c>
      <c r="AR865" s="17" t="s">
        <v>10489</v>
      </c>
      <c r="AS865" s="17" t="s">
        <v>10490</v>
      </c>
      <c r="AT865" s="17"/>
      <c r="AU865" s="30" t="s">
        <v>10491</v>
      </c>
      <c r="AV865" s="14">
        <v>13726</v>
      </c>
      <c r="AW865" s="74"/>
      <c r="AX865" s="1"/>
      <c r="AY865" s="17" t="s">
        <v>101</v>
      </c>
    </row>
    <row r="866" spans="1:51" ht="15" customHeight="1" x14ac:dyDescent="0.25">
      <c r="A866" s="5">
        <v>831</v>
      </c>
      <c r="B866" s="9">
        <v>831</v>
      </c>
      <c r="C866" s="9" t="s">
        <v>10492</v>
      </c>
      <c r="D866" s="57" t="str">
        <f>HYPERLINK("http://prodenv.dep.state.fl.us/DepNexus/public/electronic-documents/OG_831/facility!search","OG_831_Docs")</f>
        <v>OG_831_Docs</v>
      </c>
      <c r="E866" s="57" t="str">
        <f>HYPERLINK("https://ca.dep.state.fl.us/mapdirect/?focus=oilandgas&amp;zoom=query&amp;querytype=oilandgas&amp;queryvalues=OG_831","OG_831_Map")</f>
        <v>OG_831_Map</v>
      </c>
      <c r="F866" s="1" t="s">
        <v>265</v>
      </c>
      <c r="G866" s="1" t="s">
        <v>79</v>
      </c>
      <c r="H866" s="1" t="s">
        <v>7255</v>
      </c>
      <c r="I866" s="1" t="s">
        <v>10493</v>
      </c>
      <c r="J866" s="17" t="s">
        <v>82</v>
      </c>
      <c r="K866" s="17" t="s">
        <v>83</v>
      </c>
      <c r="L866" s="17"/>
      <c r="M866" s="17"/>
      <c r="N866" s="52" t="s">
        <v>86</v>
      </c>
      <c r="O866" s="17" t="s">
        <v>270</v>
      </c>
      <c r="P866" s="17" t="s">
        <v>3395</v>
      </c>
      <c r="Q866" s="81" t="s">
        <v>10494</v>
      </c>
      <c r="R866" s="11">
        <v>26.176645000000001</v>
      </c>
      <c r="S866" s="11">
        <v>-81.254846999999998</v>
      </c>
      <c r="T866" s="11" t="s">
        <v>10495</v>
      </c>
      <c r="U866" s="11" t="s">
        <v>10496</v>
      </c>
      <c r="V866" s="17" t="s">
        <v>10497</v>
      </c>
      <c r="W866" s="17" t="s">
        <v>110</v>
      </c>
      <c r="X866" s="70"/>
      <c r="Y866" s="70"/>
      <c r="Z866" s="13">
        <v>27884</v>
      </c>
      <c r="AA866" s="13">
        <v>27898</v>
      </c>
      <c r="AB866" s="13"/>
      <c r="AC866" s="13">
        <v>27953</v>
      </c>
      <c r="AD866" s="86">
        <v>11941</v>
      </c>
      <c r="AE866" s="86">
        <v>11941</v>
      </c>
      <c r="AF866" s="70" t="s">
        <v>10386</v>
      </c>
      <c r="AG866" s="17" t="s">
        <v>10498</v>
      </c>
      <c r="AH866" s="17" t="s">
        <v>10499</v>
      </c>
      <c r="AI866" s="70" t="s">
        <v>94</v>
      </c>
      <c r="AJ866" s="17" t="s">
        <v>94</v>
      </c>
      <c r="AK866" s="17" t="s">
        <v>825</v>
      </c>
      <c r="AL866" s="17" t="s">
        <v>10500</v>
      </c>
      <c r="AM866" s="17" t="s">
        <v>95</v>
      </c>
      <c r="AN866" s="17" t="s">
        <v>10501</v>
      </c>
      <c r="AO866" s="17" t="s">
        <v>98</v>
      </c>
      <c r="AP866" s="17" t="s">
        <v>98</v>
      </c>
      <c r="AQ866" s="17" t="s">
        <v>98</v>
      </c>
      <c r="AR866" s="17" t="s">
        <v>94</v>
      </c>
      <c r="AS866" s="17" t="s">
        <v>10502</v>
      </c>
      <c r="AT866" s="17">
        <v>188</v>
      </c>
      <c r="AU866" s="30" t="s">
        <v>10503</v>
      </c>
      <c r="AV866" s="14">
        <v>13246</v>
      </c>
      <c r="AW866" s="74"/>
      <c r="AX866" s="1"/>
      <c r="AY866" s="17" t="s">
        <v>101</v>
      </c>
    </row>
    <row r="867" spans="1:51" ht="15" customHeight="1" x14ac:dyDescent="0.25">
      <c r="A867" s="5">
        <v>832</v>
      </c>
      <c r="B867" s="9">
        <v>832</v>
      </c>
      <c r="C867" s="9" t="s">
        <v>10504</v>
      </c>
      <c r="D867" s="57" t="str">
        <f>HYPERLINK("http://prodenv.dep.state.fl.us/DepNexus/public/electronic-documents/OG_832/facility!search","OG_832_Docs")</f>
        <v>OG_832_Docs</v>
      </c>
      <c r="E867" s="57" t="str">
        <f>HYPERLINK("https://ca.dep.state.fl.us/mapdirect/?focus=oilandgas&amp;zoom=query&amp;querytype=oilandgas&amp;queryvalues=OG_832","OG_832_Map")</f>
        <v>OG_832_Map</v>
      </c>
      <c r="F867" s="1" t="s">
        <v>265</v>
      </c>
      <c r="G867" s="1" t="s">
        <v>7239</v>
      </c>
      <c r="H867" s="1" t="s">
        <v>6141</v>
      </c>
      <c r="I867" s="1" t="s">
        <v>10505</v>
      </c>
      <c r="J867" s="17" t="s">
        <v>207</v>
      </c>
      <c r="K867" s="17" t="s">
        <v>208</v>
      </c>
      <c r="L867" s="17"/>
      <c r="M867" s="17" t="s">
        <v>207</v>
      </c>
      <c r="N867" s="52" t="s">
        <v>207</v>
      </c>
      <c r="O867" s="17" t="s">
        <v>270</v>
      </c>
      <c r="P867" s="17" t="s">
        <v>3395</v>
      </c>
      <c r="Q867" s="81" t="s">
        <v>10506</v>
      </c>
      <c r="R867" s="11">
        <v>26.242125999999999</v>
      </c>
      <c r="S867" s="11">
        <v>-81.265468999999996</v>
      </c>
      <c r="T867" s="11" t="s">
        <v>10507</v>
      </c>
      <c r="U867" s="11" t="s">
        <v>10508</v>
      </c>
      <c r="V867" s="17" t="s">
        <v>10509</v>
      </c>
      <c r="W867" s="17" t="s">
        <v>110</v>
      </c>
      <c r="X867" s="70"/>
      <c r="Y867" s="70"/>
      <c r="Z867" s="13">
        <v>27884</v>
      </c>
      <c r="AA867" s="13"/>
      <c r="AB867" s="13"/>
      <c r="AC867" s="13"/>
      <c r="AD867" s="86"/>
      <c r="AE867" s="70"/>
      <c r="AF867" s="70" t="s">
        <v>207</v>
      </c>
      <c r="AG867" s="14" t="s">
        <v>207</v>
      </c>
      <c r="AH867" s="14" t="s">
        <v>207</v>
      </c>
      <c r="AI867" s="70" t="s">
        <v>207</v>
      </c>
      <c r="AJ867" s="14" t="s">
        <v>207</v>
      </c>
      <c r="AK867" s="14" t="s">
        <v>207</v>
      </c>
      <c r="AL867" s="14" t="s">
        <v>207</v>
      </c>
      <c r="AM867" s="14" t="s">
        <v>207</v>
      </c>
      <c r="AN867" s="14" t="s">
        <v>207</v>
      </c>
      <c r="AO867" s="14" t="s">
        <v>207</v>
      </c>
      <c r="AP867" s="14" t="s">
        <v>207</v>
      </c>
      <c r="AQ867" s="14" t="s">
        <v>207</v>
      </c>
      <c r="AR867" s="14" t="s">
        <v>207</v>
      </c>
      <c r="AS867" s="14" t="s">
        <v>207</v>
      </c>
      <c r="AT867" s="14" t="s">
        <v>207</v>
      </c>
      <c r="AU867" s="30" t="s">
        <v>10510</v>
      </c>
      <c r="AV867" s="14" t="s">
        <v>207</v>
      </c>
      <c r="AW867" s="74"/>
      <c r="AX867" s="1"/>
      <c r="AY867" s="17" t="s">
        <v>101</v>
      </c>
    </row>
    <row r="868" spans="1:51" ht="12.75" customHeight="1" x14ac:dyDescent="0.25">
      <c r="A868" s="5">
        <v>833</v>
      </c>
      <c r="B868" s="9">
        <v>833</v>
      </c>
      <c r="C868" s="9" t="s">
        <v>10511</v>
      </c>
      <c r="D868" s="57" t="str">
        <f>HYPERLINK("http://prodenv.dep.state.fl.us/DepNexus/public/electronic-documents/OG_833/facility!search","OG_833_Docs")</f>
        <v>OG_833_Docs</v>
      </c>
      <c r="E868" s="57" t="str">
        <f>HYPERLINK("https://ca.dep.state.fl.us/mapdirect/?focus=oilandgas&amp;zoom=query&amp;querytype=oilandgas&amp;queryvalues=OG_833","OG_833_Map")</f>
        <v>OG_833_Map</v>
      </c>
      <c r="F868" s="1" t="s">
        <v>265</v>
      </c>
      <c r="G868" s="1" t="s">
        <v>7239</v>
      </c>
      <c r="H868" s="1" t="s">
        <v>6141</v>
      </c>
      <c r="I868" s="1" t="s">
        <v>10512</v>
      </c>
      <c r="J868" s="17" t="s">
        <v>207</v>
      </c>
      <c r="K868" s="17" t="s">
        <v>208</v>
      </c>
      <c r="L868" s="17"/>
      <c r="M868" s="17" t="s">
        <v>207</v>
      </c>
      <c r="N868" s="52" t="s">
        <v>207</v>
      </c>
      <c r="O868" s="17" t="s">
        <v>270</v>
      </c>
      <c r="P868" s="17" t="s">
        <v>3395</v>
      </c>
      <c r="Q868" s="81" t="s">
        <v>10513</v>
      </c>
      <c r="R868" s="11">
        <v>26.234859</v>
      </c>
      <c r="S868" s="11">
        <v>-81.265365000000003</v>
      </c>
      <c r="T868" s="11" t="s">
        <v>10514</v>
      </c>
      <c r="U868" s="11" t="s">
        <v>10515</v>
      </c>
      <c r="V868" s="17" t="s">
        <v>10516</v>
      </c>
      <c r="W868" s="17" t="s">
        <v>110</v>
      </c>
      <c r="X868" s="70"/>
      <c r="Y868" s="70"/>
      <c r="Z868" s="13">
        <v>27884</v>
      </c>
      <c r="AA868" s="13"/>
      <c r="AB868" s="13"/>
      <c r="AC868" s="13"/>
      <c r="AD868" s="86"/>
      <c r="AE868" s="70"/>
      <c r="AF868" s="70" t="s">
        <v>207</v>
      </c>
      <c r="AG868" s="14" t="s">
        <v>207</v>
      </c>
      <c r="AH868" s="14" t="s">
        <v>207</v>
      </c>
      <c r="AI868" s="70" t="s">
        <v>207</v>
      </c>
      <c r="AJ868" s="14" t="s">
        <v>207</v>
      </c>
      <c r="AK868" s="14" t="s">
        <v>207</v>
      </c>
      <c r="AL868" s="14" t="s">
        <v>207</v>
      </c>
      <c r="AM868" s="14" t="s">
        <v>207</v>
      </c>
      <c r="AN868" s="14" t="s">
        <v>207</v>
      </c>
      <c r="AO868" s="14" t="s">
        <v>207</v>
      </c>
      <c r="AP868" s="14" t="s">
        <v>207</v>
      </c>
      <c r="AQ868" s="14" t="s">
        <v>207</v>
      </c>
      <c r="AR868" s="14" t="s">
        <v>207</v>
      </c>
      <c r="AS868" s="14" t="s">
        <v>207</v>
      </c>
      <c r="AT868" s="14" t="s">
        <v>207</v>
      </c>
      <c r="AU868" s="30" t="s">
        <v>10517</v>
      </c>
      <c r="AV868" s="14" t="s">
        <v>207</v>
      </c>
      <c r="AW868" s="74"/>
      <c r="AX868" s="1"/>
      <c r="AY868" s="17" t="s">
        <v>101</v>
      </c>
    </row>
    <row r="869" spans="1:51" ht="12.75" customHeight="1" x14ac:dyDescent="0.25">
      <c r="A869" s="5">
        <v>834</v>
      </c>
      <c r="B869" s="9">
        <v>834</v>
      </c>
      <c r="C869" s="9" t="s">
        <v>10518</v>
      </c>
      <c r="D869" s="57" t="str">
        <f>HYPERLINK("http://prodenv.dep.state.fl.us/DepNexus/public/electronic-documents/OG_834/facility!search","OG_834_Docs")</f>
        <v>OG_834_Docs</v>
      </c>
      <c r="E869" s="57" t="str">
        <f>HYPERLINK("https://ca.dep.state.fl.us/mapdirect/?focus=oilandgas&amp;zoom=query&amp;querytype=oilandgas&amp;queryvalues=OG_834","OG_834_Map")</f>
        <v>OG_834_Map</v>
      </c>
      <c r="F869" s="1" t="s">
        <v>265</v>
      </c>
      <c r="G869" s="1" t="s">
        <v>7239</v>
      </c>
      <c r="H869" s="1" t="s">
        <v>6141</v>
      </c>
      <c r="I869" s="1" t="s">
        <v>10519</v>
      </c>
      <c r="J869" s="17" t="s">
        <v>207</v>
      </c>
      <c r="K869" s="17" t="s">
        <v>208</v>
      </c>
      <c r="L869" s="17"/>
      <c r="M869" s="17" t="s">
        <v>207</v>
      </c>
      <c r="N869" s="52" t="s">
        <v>207</v>
      </c>
      <c r="O869" s="17" t="s">
        <v>270</v>
      </c>
      <c r="P869" s="17" t="s">
        <v>86</v>
      </c>
      <c r="Q869" s="81" t="s">
        <v>10520</v>
      </c>
      <c r="R869" s="11">
        <v>26.257498999999999</v>
      </c>
      <c r="S869" s="11">
        <v>-81.296932999999996</v>
      </c>
      <c r="T869" s="11" t="s">
        <v>10521</v>
      </c>
      <c r="U869" s="11" t="s">
        <v>10522</v>
      </c>
      <c r="V869" s="17" t="s">
        <v>10523</v>
      </c>
      <c r="W869" s="17" t="s">
        <v>110</v>
      </c>
      <c r="X869" s="70"/>
      <c r="Y869" s="70"/>
      <c r="Z869" s="13">
        <v>28080</v>
      </c>
      <c r="AA869" s="13"/>
      <c r="AB869" s="13"/>
      <c r="AC869" s="13"/>
      <c r="AD869" s="86"/>
      <c r="AE869" s="70"/>
      <c r="AF869" s="70" t="s">
        <v>207</v>
      </c>
      <c r="AG869" s="14" t="s">
        <v>207</v>
      </c>
      <c r="AH869" s="14" t="s">
        <v>207</v>
      </c>
      <c r="AI869" s="70" t="s">
        <v>207</v>
      </c>
      <c r="AJ869" s="14" t="s">
        <v>207</v>
      </c>
      <c r="AK869" s="14" t="s">
        <v>207</v>
      </c>
      <c r="AL869" s="14" t="s">
        <v>207</v>
      </c>
      <c r="AM869" s="14" t="s">
        <v>207</v>
      </c>
      <c r="AN869" s="14" t="s">
        <v>207</v>
      </c>
      <c r="AO869" s="14" t="s">
        <v>207</v>
      </c>
      <c r="AP869" s="14" t="s">
        <v>207</v>
      </c>
      <c r="AQ869" s="14" t="s">
        <v>207</v>
      </c>
      <c r="AR869" s="14" t="s">
        <v>207</v>
      </c>
      <c r="AS869" s="14" t="s">
        <v>207</v>
      </c>
      <c r="AT869" s="14" t="s">
        <v>207</v>
      </c>
      <c r="AU869" s="30" t="s">
        <v>10524</v>
      </c>
      <c r="AV869" s="14" t="s">
        <v>207</v>
      </c>
      <c r="AW869" s="74"/>
      <c r="AX869" s="1"/>
      <c r="AY869" s="17" t="s">
        <v>101</v>
      </c>
    </row>
    <row r="870" spans="1:51" ht="12.75" customHeight="1" x14ac:dyDescent="0.25">
      <c r="A870" s="5">
        <v>835</v>
      </c>
      <c r="B870" s="9">
        <v>835</v>
      </c>
      <c r="C870" s="9" t="s">
        <v>10525</v>
      </c>
      <c r="D870" s="57" t="str">
        <f>HYPERLINK("http://prodenv.dep.state.fl.us/DepNexus/public/electronic-documents/OG_835/facility!search","OG_835_Docs")</f>
        <v>OG_835_Docs</v>
      </c>
      <c r="E870" s="57" t="str">
        <f>HYPERLINK("https://ca.dep.state.fl.us/mapdirect/?focus=oilandgas&amp;zoom=query&amp;querytype=oilandgas&amp;queryvalues=OG_835","OG_835_Map")</f>
        <v>OG_835_Map</v>
      </c>
      <c r="F870" s="1" t="s">
        <v>265</v>
      </c>
      <c r="G870" s="1" t="s">
        <v>79</v>
      </c>
      <c r="H870" s="1" t="s">
        <v>10330</v>
      </c>
      <c r="I870" s="1" t="s">
        <v>10526</v>
      </c>
      <c r="J870" s="17" t="s">
        <v>82</v>
      </c>
      <c r="K870" s="17" t="s">
        <v>83</v>
      </c>
      <c r="L870" s="17"/>
      <c r="M870" s="17"/>
      <c r="N870" s="52" t="s">
        <v>9222</v>
      </c>
      <c r="O870" s="17" t="s">
        <v>270</v>
      </c>
      <c r="P870" s="17" t="s">
        <v>86</v>
      </c>
      <c r="Q870" s="81" t="s">
        <v>10527</v>
      </c>
      <c r="R870" s="11">
        <v>26.460581000000001</v>
      </c>
      <c r="S870" s="11">
        <v>-81.324980999999994</v>
      </c>
      <c r="T870" s="11" t="s">
        <v>10528</v>
      </c>
      <c r="U870" s="11" t="s">
        <v>10529</v>
      </c>
      <c r="V870" s="17" t="s">
        <v>10530</v>
      </c>
      <c r="W870" s="17" t="s">
        <v>110</v>
      </c>
      <c r="X870" s="70">
        <v>45</v>
      </c>
      <c r="Y870" s="70">
        <v>28</v>
      </c>
      <c r="Z870" s="13">
        <v>27898</v>
      </c>
      <c r="AA870" s="13">
        <v>27965</v>
      </c>
      <c r="AB870" s="13">
        <v>28004</v>
      </c>
      <c r="AC870" s="13">
        <v>28010</v>
      </c>
      <c r="AD870" s="86">
        <v>12830</v>
      </c>
      <c r="AE870" s="86">
        <v>12830</v>
      </c>
      <c r="AF870" s="70" t="s">
        <v>1047</v>
      </c>
      <c r="AG870" s="17" t="s">
        <v>10531</v>
      </c>
      <c r="AH870" s="17" t="s">
        <v>5388</v>
      </c>
      <c r="AI870" s="70" t="s">
        <v>94</v>
      </c>
      <c r="AJ870" s="17" t="s">
        <v>94</v>
      </c>
      <c r="AK870" s="17" t="s">
        <v>95</v>
      </c>
      <c r="AL870" s="17" t="s">
        <v>94</v>
      </c>
      <c r="AM870" s="17" t="s">
        <v>94</v>
      </c>
      <c r="AN870" s="17" t="s">
        <v>94</v>
      </c>
      <c r="AO870" s="17" t="s">
        <v>98</v>
      </c>
      <c r="AP870" s="17" t="s">
        <v>98</v>
      </c>
      <c r="AQ870" s="17" t="s">
        <v>98</v>
      </c>
      <c r="AR870" s="17" t="s">
        <v>94</v>
      </c>
      <c r="AS870" s="17" t="s">
        <v>10532</v>
      </c>
      <c r="AT870" s="17"/>
      <c r="AU870" s="30" t="s">
        <v>10533</v>
      </c>
      <c r="AV870" s="14">
        <v>13330</v>
      </c>
      <c r="AW870" s="74"/>
      <c r="AX870" s="1"/>
      <c r="AY870" s="17" t="s">
        <v>101</v>
      </c>
    </row>
    <row r="871" spans="1:51" ht="12.75" customHeight="1" x14ac:dyDescent="0.25">
      <c r="A871" s="5">
        <v>836</v>
      </c>
      <c r="B871" s="9">
        <v>836</v>
      </c>
      <c r="C871" s="9" t="s">
        <v>10534</v>
      </c>
      <c r="D871" s="57" t="str">
        <f>HYPERLINK("http://prodenv.dep.state.fl.us/DepNexus/public/electronic-documents/OG_836/facility!search","OG_836_Docs")</f>
        <v>OG_836_Docs</v>
      </c>
      <c r="E871" s="57" t="str">
        <f>HYPERLINK("https://ca.dep.state.fl.us/mapdirect/?focus=oilandgas&amp;zoom=query&amp;querytype=oilandgas&amp;queryvalues=OG_836","OG_836_Map")</f>
        <v>OG_836_Map</v>
      </c>
      <c r="F871" s="1" t="s">
        <v>265</v>
      </c>
      <c r="G871" s="1" t="s">
        <v>7239</v>
      </c>
      <c r="H871" s="1" t="s">
        <v>6141</v>
      </c>
      <c r="I871" s="1" t="s">
        <v>10535</v>
      </c>
      <c r="J871" s="17" t="s">
        <v>268</v>
      </c>
      <c r="K871" s="17" t="s">
        <v>412</v>
      </c>
      <c r="L871" s="17"/>
      <c r="M871" s="17"/>
      <c r="N871" s="52" t="s">
        <v>5949</v>
      </c>
      <c r="O871" s="17" t="s">
        <v>270</v>
      </c>
      <c r="P871" s="17" t="s">
        <v>86</v>
      </c>
      <c r="Q871" s="81" t="s">
        <v>4607</v>
      </c>
      <c r="R871" s="11">
        <v>26.257427</v>
      </c>
      <c r="S871" s="11">
        <v>-81.297317000000007</v>
      </c>
      <c r="T871" s="11" t="s">
        <v>10536</v>
      </c>
      <c r="U871" s="11" t="s">
        <v>10537</v>
      </c>
      <c r="V871" s="17" t="s">
        <v>4610</v>
      </c>
      <c r="W871" s="17" t="s">
        <v>10538</v>
      </c>
      <c r="X871" s="70">
        <v>35</v>
      </c>
      <c r="Y871" s="70">
        <v>17</v>
      </c>
      <c r="Z871" s="13">
        <v>27898</v>
      </c>
      <c r="AA871" s="13">
        <v>27912</v>
      </c>
      <c r="AB871" s="13">
        <v>27953</v>
      </c>
      <c r="AC871" s="13">
        <v>32827</v>
      </c>
      <c r="AD871" s="86">
        <v>11588</v>
      </c>
      <c r="AE871" s="86">
        <v>11730</v>
      </c>
      <c r="AF871" s="70" t="s">
        <v>10539</v>
      </c>
      <c r="AG871" s="17" t="s">
        <v>10540</v>
      </c>
      <c r="AH871" s="17" t="s">
        <v>10541</v>
      </c>
      <c r="AI871" s="70" t="s">
        <v>5193</v>
      </c>
      <c r="AJ871" s="17" t="s">
        <v>94</v>
      </c>
      <c r="AK871" s="17" t="s">
        <v>94</v>
      </c>
      <c r="AL871" s="17" t="s">
        <v>10542</v>
      </c>
      <c r="AM871" s="17" t="s">
        <v>95</v>
      </c>
      <c r="AN871" s="17" t="s">
        <v>86</v>
      </c>
      <c r="AO871" s="17" t="s">
        <v>10543</v>
      </c>
      <c r="AP871" s="17" t="s">
        <v>4176</v>
      </c>
      <c r="AQ871" s="17">
        <v>2E-3</v>
      </c>
      <c r="AR871" s="17" t="s">
        <v>10544</v>
      </c>
      <c r="AS871" s="17" t="s">
        <v>10545</v>
      </c>
      <c r="AT871" s="17">
        <v>190</v>
      </c>
      <c r="AU871" s="30" t="s">
        <v>10546</v>
      </c>
      <c r="AV871" s="14">
        <v>13435</v>
      </c>
      <c r="AW871" s="74"/>
      <c r="AX871" s="1" t="s">
        <v>10547</v>
      </c>
      <c r="AY871" s="17" t="s">
        <v>101</v>
      </c>
    </row>
    <row r="872" spans="1:51" ht="12.75" customHeight="1" x14ac:dyDescent="0.25">
      <c r="A872" s="5">
        <v>837</v>
      </c>
      <c r="B872" s="9">
        <v>837</v>
      </c>
      <c r="C872" s="9" t="s">
        <v>10548</v>
      </c>
      <c r="D872" s="57" t="str">
        <f>HYPERLINK("http://prodenv.dep.state.fl.us/DepNexus/public/electronic-documents/OG_837/facility!search","OG_837_Docs")</f>
        <v>OG_837_Docs</v>
      </c>
      <c r="E872" s="57" t="str">
        <f>HYPERLINK("https://ca.dep.state.fl.us/mapdirect/?focus=oilandgas&amp;zoom=query&amp;querytype=oilandgas&amp;queryvalues=OG_837","OG_837_Map")</f>
        <v>OG_837_Map</v>
      </c>
      <c r="F872" s="1" t="s">
        <v>265</v>
      </c>
      <c r="G872" s="1" t="s">
        <v>79</v>
      </c>
      <c r="H872" s="1" t="s">
        <v>7255</v>
      </c>
      <c r="I872" s="1" t="s">
        <v>10549</v>
      </c>
      <c r="J872" s="17" t="s">
        <v>207</v>
      </c>
      <c r="K872" s="17" t="s">
        <v>208</v>
      </c>
      <c r="L872" s="17"/>
      <c r="M872" s="17" t="s">
        <v>207</v>
      </c>
      <c r="N872" s="52" t="s">
        <v>207</v>
      </c>
      <c r="O872" s="17" t="s">
        <v>270</v>
      </c>
      <c r="P872" s="17" t="s">
        <v>3395</v>
      </c>
      <c r="Q872" s="81" t="s">
        <v>10550</v>
      </c>
      <c r="R872" s="11">
        <v>26.174126000000001</v>
      </c>
      <c r="S872" s="11">
        <v>-81.269638999999998</v>
      </c>
      <c r="T872" s="11" t="s">
        <v>10551</v>
      </c>
      <c r="U872" s="11" t="s">
        <v>10552</v>
      </c>
      <c r="V872" s="17" t="s">
        <v>10553</v>
      </c>
      <c r="W872" s="17" t="s">
        <v>110</v>
      </c>
      <c r="X872" s="70"/>
      <c r="Y872" s="70"/>
      <c r="Z872" s="13">
        <v>27898</v>
      </c>
      <c r="AA872" s="13"/>
      <c r="AB872" s="13"/>
      <c r="AC872" s="13"/>
      <c r="AD872" s="86"/>
      <c r="AE872" s="70"/>
      <c r="AF872" s="70" t="s">
        <v>207</v>
      </c>
      <c r="AG872" s="14" t="s">
        <v>207</v>
      </c>
      <c r="AH872" s="14" t="s">
        <v>207</v>
      </c>
      <c r="AI872" s="70" t="s">
        <v>207</v>
      </c>
      <c r="AJ872" s="14" t="s">
        <v>207</v>
      </c>
      <c r="AK872" s="14" t="s">
        <v>207</v>
      </c>
      <c r="AL872" s="14" t="s">
        <v>207</v>
      </c>
      <c r="AM872" s="14" t="s">
        <v>207</v>
      </c>
      <c r="AN872" s="14" t="s">
        <v>207</v>
      </c>
      <c r="AO872" s="14" t="s">
        <v>207</v>
      </c>
      <c r="AP872" s="14" t="s">
        <v>207</v>
      </c>
      <c r="AQ872" s="14" t="s">
        <v>207</v>
      </c>
      <c r="AR872" s="14" t="s">
        <v>207</v>
      </c>
      <c r="AS872" s="14" t="s">
        <v>207</v>
      </c>
      <c r="AT872" s="14" t="s">
        <v>207</v>
      </c>
      <c r="AU872" s="30" t="s">
        <v>10554</v>
      </c>
      <c r="AV872" s="14" t="s">
        <v>207</v>
      </c>
      <c r="AW872" s="74"/>
      <c r="AX872" s="1"/>
      <c r="AY872" s="17" t="s">
        <v>101</v>
      </c>
    </row>
    <row r="873" spans="1:51" ht="15" customHeight="1" x14ac:dyDescent="0.25">
      <c r="A873" s="5">
        <v>838</v>
      </c>
      <c r="B873" s="9">
        <v>838</v>
      </c>
      <c r="C873" s="9" t="s">
        <v>10555</v>
      </c>
      <c r="D873" s="57" t="str">
        <f>HYPERLINK("http://prodenv.dep.state.fl.us/DepNexus/public/electronic-documents/OG_838/facility!search","OG_838_Docs")</f>
        <v>OG_838_Docs</v>
      </c>
      <c r="E873" s="57" t="str">
        <f>HYPERLINK("https://ca.dep.state.fl.us/mapdirect/?focus=oilandgas&amp;zoom=query&amp;querytype=oilandgas&amp;queryvalues=OG_838","OG_838_Map")</f>
        <v>OG_838_Map</v>
      </c>
      <c r="F873" s="1" t="s">
        <v>265</v>
      </c>
      <c r="G873" s="1" t="s">
        <v>7239</v>
      </c>
      <c r="H873" s="1" t="s">
        <v>8261</v>
      </c>
      <c r="I873" s="1" t="s">
        <v>10556</v>
      </c>
      <c r="J873" s="17" t="s">
        <v>268</v>
      </c>
      <c r="K873" s="17" t="s">
        <v>3937</v>
      </c>
      <c r="L873" s="17"/>
      <c r="M873" s="17"/>
      <c r="N873" s="52" t="s">
        <v>86</v>
      </c>
      <c r="O873" s="17" t="s">
        <v>270</v>
      </c>
      <c r="P873" s="17" t="s">
        <v>3395</v>
      </c>
      <c r="Q873" s="81" t="s">
        <v>10557</v>
      </c>
      <c r="R873" s="11">
        <v>26.241202999999999</v>
      </c>
      <c r="S873" s="11">
        <v>-81.280120999999994</v>
      </c>
      <c r="T873" s="11" t="s">
        <v>10558</v>
      </c>
      <c r="U873" s="11" t="s">
        <v>10559</v>
      </c>
      <c r="V873" s="17" t="s">
        <v>10560</v>
      </c>
      <c r="W873" s="17" t="s">
        <v>110</v>
      </c>
      <c r="X873" s="70">
        <v>33.4</v>
      </c>
      <c r="Y873" s="70">
        <v>17.8</v>
      </c>
      <c r="Z873" s="13">
        <v>27898</v>
      </c>
      <c r="AA873" s="13">
        <v>28050</v>
      </c>
      <c r="AB873" s="13">
        <v>28235</v>
      </c>
      <c r="AC873" s="13">
        <v>32556</v>
      </c>
      <c r="AD873" s="86">
        <v>11613</v>
      </c>
      <c r="AE873" s="86">
        <v>11613</v>
      </c>
      <c r="AF873" s="70" t="s">
        <v>5678</v>
      </c>
      <c r="AG873" s="17" t="s">
        <v>10561</v>
      </c>
      <c r="AH873" s="17" t="s">
        <v>5164</v>
      </c>
      <c r="AI873" s="70" t="s">
        <v>10562</v>
      </c>
      <c r="AJ873" s="17" t="s">
        <v>10563</v>
      </c>
      <c r="AK873" s="17" t="s">
        <v>95</v>
      </c>
      <c r="AL873" s="17" t="s">
        <v>10564</v>
      </c>
      <c r="AM873" s="17" t="s">
        <v>94</v>
      </c>
      <c r="AN873" s="17" t="s">
        <v>94</v>
      </c>
      <c r="AO873" s="17" t="s">
        <v>4122</v>
      </c>
      <c r="AP873" s="17" t="s">
        <v>4176</v>
      </c>
      <c r="AQ873" s="17" t="s">
        <v>10565</v>
      </c>
      <c r="AR873" s="17" t="s">
        <v>10566</v>
      </c>
      <c r="AS873" s="17" t="s">
        <v>10567</v>
      </c>
      <c r="AT873" s="17"/>
      <c r="AU873" s="30" t="s">
        <v>10568</v>
      </c>
      <c r="AV873" s="14">
        <v>13481</v>
      </c>
      <c r="AW873" s="74"/>
      <c r="AX873" s="1" t="s">
        <v>10569</v>
      </c>
      <c r="AY873" s="17" t="s">
        <v>101</v>
      </c>
    </row>
    <row r="874" spans="1:51" ht="12.75" customHeight="1" x14ac:dyDescent="0.25">
      <c r="A874" s="5">
        <v>839</v>
      </c>
      <c r="B874" s="9">
        <v>839</v>
      </c>
      <c r="C874" s="9" t="s">
        <v>10570</v>
      </c>
      <c r="D874" s="57" t="str">
        <f>HYPERLINK("http://prodenv.dep.state.fl.us/DepNexus/public/electronic-documents/OG_839/facility!search","OG_839_Docs")</f>
        <v>OG_839_Docs</v>
      </c>
      <c r="E874" s="57" t="str">
        <f>HYPERLINK("https://ca.dep.state.fl.us/mapdirect/?focus=oilandgas&amp;zoom=query&amp;querytype=oilandgas&amp;queryvalues=OG_839","OG_839_Map")</f>
        <v>OG_839_Map</v>
      </c>
      <c r="F874" s="1" t="s">
        <v>265</v>
      </c>
      <c r="G874" s="1" t="s">
        <v>7239</v>
      </c>
      <c r="H874" s="1" t="s">
        <v>8261</v>
      </c>
      <c r="I874" s="1" t="s">
        <v>10571</v>
      </c>
      <c r="J874" s="17" t="s">
        <v>207</v>
      </c>
      <c r="K874" s="17" t="s">
        <v>208</v>
      </c>
      <c r="L874" s="17"/>
      <c r="M874" s="17" t="s">
        <v>207</v>
      </c>
      <c r="N874" s="52" t="s">
        <v>207</v>
      </c>
      <c r="O874" s="17" t="s">
        <v>270</v>
      </c>
      <c r="P874" s="17" t="s">
        <v>3395</v>
      </c>
      <c r="Q874" s="81" t="s">
        <v>10557</v>
      </c>
      <c r="R874" s="11">
        <v>26.241212999999998</v>
      </c>
      <c r="S874" s="11">
        <v>-81.280528000000004</v>
      </c>
      <c r="T874" s="11" t="s">
        <v>10572</v>
      </c>
      <c r="U874" s="11" t="s">
        <v>10573</v>
      </c>
      <c r="V874" s="17" t="s">
        <v>10574</v>
      </c>
      <c r="W874" s="17" t="s">
        <v>110</v>
      </c>
      <c r="X874" s="70"/>
      <c r="Y874" s="70"/>
      <c r="Z874" s="13">
        <v>27898</v>
      </c>
      <c r="AA874" s="13"/>
      <c r="AB874" s="13"/>
      <c r="AC874" s="13"/>
      <c r="AD874" s="86"/>
      <c r="AE874" s="70"/>
      <c r="AF874" s="70" t="s">
        <v>207</v>
      </c>
      <c r="AG874" s="14" t="s">
        <v>207</v>
      </c>
      <c r="AH874" s="14" t="s">
        <v>207</v>
      </c>
      <c r="AI874" s="70" t="s">
        <v>207</v>
      </c>
      <c r="AJ874" s="14" t="s">
        <v>207</v>
      </c>
      <c r="AK874" s="14" t="s">
        <v>207</v>
      </c>
      <c r="AL874" s="14" t="s">
        <v>207</v>
      </c>
      <c r="AM874" s="14" t="s">
        <v>207</v>
      </c>
      <c r="AN874" s="14" t="s">
        <v>207</v>
      </c>
      <c r="AO874" s="14" t="s">
        <v>207</v>
      </c>
      <c r="AP874" s="14" t="s">
        <v>207</v>
      </c>
      <c r="AQ874" s="14" t="s">
        <v>207</v>
      </c>
      <c r="AR874" s="14" t="s">
        <v>207</v>
      </c>
      <c r="AS874" s="14" t="s">
        <v>207</v>
      </c>
      <c r="AT874" s="14" t="s">
        <v>207</v>
      </c>
      <c r="AU874" s="30" t="s">
        <v>10575</v>
      </c>
      <c r="AV874" s="14" t="s">
        <v>207</v>
      </c>
      <c r="AW874" s="74"/>
      <c r="AX874" s="1"/>
      <c r="AY874" s="17" t="s">
        <v>101</v>
      </c>
    </row>
    <row r="875" spans="1:51" ht="15" customHeight="1" x14ac:dyDescent="0.25">
      <c r="A875" s="5">
        <v>840</v>
      </c>
      <c r="B875" s="9">
        <v>840</v>
      </c>
      <c r="C875" s="9" t="s">
        <v>10576</v>
      </c>
      <c r="D875" s="57" t="str">
        <f>HYPERLINK("http://prodenv.dep.state.fl.us/DepNexus/public/electronic-documents/OG_840/facility!search","OG_840_Docs")</f>
        <v>OG_840_Docs</v>
      </c>
      <c r="E875" s="57" t="str">
        <f>HYPERLINK("https://ca.dep.state.fl.us/mapdirect/?focus=oilandgas&amp;zoom=query&amp;querytype=oilandgas&amp;queryvalues=OG_840","OG_840_Map")</f>
        <v>OG_840_Map</v>
      </c>
      <c r="F875" s="1" t="s">
        <v>265</v>
      </c>
      <c r="G875" s="1" t="s">
        <v>7239</v>
      </c>
      <c r="H875" s="1" t="s">
        <v>8261</v>
      </c>
      <c r="I875" s="1" t="s">
        <v>10577</v>
      </c>
      <c r="J875" s="17" t="s">
        <v>207</v>
      </c>
      <c r="K875" s="17" t="s">
        <v>208</v>
      </c>
      <c r="L875" s="17"/>
      <c r="M875" s="17" t="s">
        <v>207</v>
      </c>
      <c r="N875" s="52" t="s">
        <v>207</v>
      </c>
      <c r="O875" s="17" t="s">
        <v>270</v>
      </c>
      <c r="P875" s="17" t="s">
        <v>3395</v>
      </c>
      <c r="Q875" s="81" t="s">
        <v>10578</v>
      </c>
      <c r="R875" s="11">
        <v>26.226400999999999</v>
      </c>
      <c r="S875" s="11">
        <v>-81.272976</v>
      </c>
      <c r="T875" s="11" t="s">
        <v>10579</v>
      </c>
      <c r="U875" s="11" t="s">
        <v>10580</v>
      </c>
      <c r="V875" s="17" t="s">
        <v>10581</v>
      </c>
      <c r="W875" s="17" t="s">
        <v>110</v>
      </c>
      <c r="X875" s="70"/>
      <c r="Y875" s="70"/>
      <c r="Z875" s="13">
        <v>27898</v>
      </c>
      <c r="AA875" s="13"/>
      <c r="AB875" s="13"/>
      <c r="AC875" s="13"/>
      <c r="AD875" s="86"/>
      <c r="AE875" s="70"/>
      <c r="AF875" s="70" t="s">
        <v>207</v>
      </c>
      <c r="AG875" s="14" t="s">
        <v>207</v>
      </c>
      <c r="AH875" s="14" t="s">
        <v>207</v>
      </c>
      <c r="AI875" s="70" t="s">
        <v>207</v>
      </c>
      <c r="AJ875" s="14" t="s">
        <v>207</v>
      </c>
      <c r="AK875" s="14" t="s">
        <v>207</v>
      </c>
      <c r="AL875" s="14" t="s">
        <v>207</v>
      </c>
      <c r="AM875" s="14" t="s">
        <v>207</v>
      </c>
      <c r="AN875" s="14" t="s">
        <v>207</v>
      </c>
      <c r="AO875" s="14" t="s">
        <v>207</v>
      </c>
      <c r="AP875" s="14" t="s">
        <v>207</v>
      </c>
      <c r="AQ875" s="14" t="s">
        <v>207</v>
      </c>
      <c r="AR875" s="14" t="s">
        <v>207</v>
      </c>
      <c r="AS875" s="14" t="s">
        <v>207</v>
      </c>
      <c r="AT875" s="14" t="s">
        <v>207</v>
      </c>
      <c r="AU875" s="30" t="s">
        <v>10582</v>
      </c>
      <c r="AV875" s="14" t="s">
        <v>207</v>
      </c>
      <c r="AW875" s="74"/>
      <c r="AX875" s="1"/>
      <c r="AY875" s="17" t="s">
        <v>101</v>
      </c>
    </row>
    <row r="876" spans="1:51" ht="12.75" customHeight="1" x14ac:dyDescent="0.25">
      <c r="A876" s="5">
        <v>841</v>
      </c>
      <c r="B876" s="9">
        <v>841</v>
      </c>
      <c r="C876" s="9" t="s">
        <v>10583</v>
      </c>
      <c r="D876" s="57" t="str">
        <f>HYPERLINK("http://prodenv.dep.state.fl.us/DepNexus/public/electronic-documents/OG_841/facility!search","OG_841_Docs")</f>
        <v>OG_841_Docs</v>
      </c>
      <c r="E876" s="57" t="str">
        <f>HYPERLINK("https://ca.dep.state.fl.us/mapdirect/?focus=oilandgas&amp;zoom=query&amp;querytype=oilandgas&amp;queryvalues=OG_841","OG_841_Map")</f>
        <v>OG_841_Map</v>
      </c>
      <c r="F876" s="1" t="s">
        <v>2026</v>
      </c>
      <c r="G876" s="1" t="s">
        <v>9085</v>
      </c>
      <c r="H876" s="1" t="s">
        <v>1363</v>
      </c>
      <c r="I876" s="1" t="s">
        <v>10584</v>
      </c>
      <c r="J876" s="17" t="s">
        <v>3646</v>
      </c>
      <c r="K876" s="17" t="s">
        <v>412</v>
      </c>
      <c r="L876" s="17"/>
      <c r="M876" s="17" t="s">
        <v>101</v>
      </c>
      <c r="N876" s="52" t="s">
        <v>7514</v>
      </c>
      <c r="O876" s="17" t="s">
        <v>86</v>
      </c>
      <c r="P876" s="17" t="s">
        <v>86</v>
      </c>
      <c r="Q876" s="81" t="s">
        <v>10585</v>
      </c>
      <c r="R876" s="11">
        <v>26.619727999999999</v>
      </c>
      <c r="S876" s="11">
        <v>-81.691630000000004</v>
      </c>
      <c r="T876" s="11" t="s">
        <v>10586</v>
      </c>
      <c r="U876" s="11" t="s">
        <v>10587</v>
      </c>
      <c r="V876" s="17" t="s">
        <v>10588</v>
      </c>
      <c r="W876" s="17" t="s">
        <v>10589</v>
      </c>
      <c r="X876" s="70">
        <v>48</v>
      </c>
      <c r="Y876" s="70">
        <v>25</v>
      </c>
      <c r="Z876" s="13">
        <v>27912</v>
      </c>
      <c r="AA876" s="13">
        <v>27936</v>
      </c>
      <c r="AB876" s="13">
        <v>28029</v>
      </c>
      <c r="AC876" s="13"/>
      <c r="AD876" s="86">
        <v>11598</v>
      </c>
      <c r="AE876" s="86">
        <v>11940</v>
      </c>
      <c r="AF876" s="70" t="s">
        <v>5267</v>
      </c>
      <c r="AG876" s="17" t="s">
        <v>9162</v>
      </c>
      <c r="AH876" s="17" t="s">
        <v>10590</v>
      </c>
      <c r="AI876" s="70" t="s">
        <v>10591</v>
      </c>
      <c r="AJ876" s="17" t="s">
        <v>10563</v>
      </c>
      <c r="AK876" s="17" t="s">
        <v>95</v>
      </c>
      <c r="AL876" s="17" t="s">
        <v>10592</v>
      </c>
      <c r="AM876" s="17" t="s">
        <v>95</v>
      </c>
      <c r="AN876" s="17" t="s">
        <v>825</v>
      </c>
      <c r="AO876" s="17" t="s">
        <v>10593</v>
      </c>
      <c r="AP876" s="17" t="s">
        <v>5061</v>
      </c>
      <c r="AQ876" s="17" t="s">
        <v>4728</v>
      </c>
      <c r="AR876" s="17" t="s">
        <v>10594</v>
      </c>
      <c r="AS876" s="17"/>
      <c r="AT876" s="17">
        <v>194</v>
      </c>
      <c r="AU876" s="30" t="s">
        <v>10595</v>
      </c>
      <c r="AV876" s="14">
        <v>13270</v>
      </c>
      <c r="AW876" s="74">
        <v>306470</v>
      </c>
      <c r="AX876" s="1"/>
      <c r="AY876" s="17" t="s">
        <v>101</v>
      </c>
    </row>
    <row r="877" spans="1:51" ht="12.75" customHeight="1" x14ac:dyDescent="0.25">
      <c r="A877" s="5">
        <v>842</v>
      </c>
      <c r="B877" s="9">
        <v>842</v>
      </c>
      <c r="C877" s="9" t="s">
        <v>10596</v>
      </c>
      <c r="D877" s="57" t="str">
        <f>HYPERLINK("http://prodenv.dep.state.fl.us/DepNexus/public/electronic-documents/OG_842/facility!search","OG_842_Docs")</f>
        <v>OG_842_Docs</v>
      </c>
      <c r="E877" s="57" t="str">
        <f>HYPERLINK("https://ca.dep.state.fl.us/mapdirect/?focus=oilandgas&amp;zoom=query&amp;querytype=oilandgas&amp;queryvalues=OG_842","OG_842_Map")</f>
        <v>OG_842_Map</v>
      </c>
      <c r="F877" s="1" t="s">
        <v>2026</v>
      </c>
      <c r="G877" s="1" t="s">
        <v>9085</v>
      </c>
      <c r="H877" s="1" t="s">
        <v>8261</v>
      </c>
      <c r="I877" s="1" t="s">
        <v>10597</v>
      </c>
      <c r="J877" s="17" t="s">
        <v>82</v>
      </c>
      <c r="K877" s="17" t="s">
        <v>83</v>
      </c>
      <c r="L877" s="17"/>
      <c r="M877" s="17"/>
      <c r="N877" s="52" t="s">
        <v>86</v>
      </c>
      <c r="O877" s="17" t="s">
        <v>86</v>
      </c>
      <c r="P877" s="17" t="s">
        <v>86</v>
      </c>
      <c r="Q877" s="81" t="s">
        <v>10598</v>
      </c>
      <c r="R877" s="11">
        <v>26.619883000000002</v>
      </c>
      <c r="S877" s="11">
        <v>-81.691867000000002</v>
      </c>
      <c r="T877" s="11" t="s">
        <v>10599</v>
      </c>
      <c r="U877" s="11" t="s">
        <v>10600</v>
      </c>
      <c r="V877" s="17" t="s">
        <v>10601</v>
      </c>
      <c r="W877" s="17" t="s">
        <v>10602</v>
      </c>
      <c r="X877" s="70">
        <v>48.8</v>
      </c>
      <c r="Y877" s="70">
        <v>25</v>
      </c>
      <c r="Z877" s="13">
        <v>27912</v>
      </c>
      <c r="AA877" s="13">
        <v>28446</v>
      </c>
      <c r="AB877" s="13"/>
      <c r="AC877" s="13">
        <v>28463</v>
      </c>
      <c r="AD877" s="86">
        <v>11387</v>
      </c>
      <c r="AE877" s="86">
        <v>11578</v>
      </c>
      <c r="AF877" s="70" t="s">
        <v>10281</v>
      </c>
      <c r="AG877" s="17" t="s">
        <v>10282</v>
      </c>
      <c r="AH877" s="17" t="s">
        <v>6795</v>
      </c>
      <c r="AI877" s="70" t="s">
        <v>94</v>
      </c>
      <c r="AJ877" s="17" t="s">
        <v>94</v>
      </c>
      <c r="AK877" s="17" t="s">
        <v>825</v>
      </c>
      <c r="AL877" s="17" t="s">
        <v>10603</v>
      </c>
      <c r="AM877" s="17" t="s">
        <v>94</v>
      </c>
      <c r="AN877" s="17" t="s">
        <v>94</v>
      </c>
      <c r="AO877" s="17" t="s">
        <v>98</v>
      </c>
      <c r="AP877" s="17" t="s">
        <v>98</v>
      </c>
      <c r="AQ877" s="17" t="s">
        <v>98</v>
      </c>
      <c r="AR877" s="17" t="s">
        <v>94</v>
      </c>
      <c r="AS877" s="17" t="s">
        <v>10604</v>
      </c>
      <c r="AT877" s="17"/>
      <c r="AU877" s="30" t="s">
        <v>10605</v>
      </c>
      <c r="AV877" s="14">
        <v>13772</v>
      </c>
      <c r="AW877" s="74"/>
      <c r="AX877" s="1" t="s">
        <v>10606</v>
      </c>
      <c r="AY877" s="17" t="s">
        <v>101</v>
      </c>
    </row>
    <row r="878" spans="1:51" ht="15" customHeight="1" x14ac:dyDescent="0.25">
      <c r="A878" s="5">
        <v>843</v>
      </c>
      <c r="B878" s="9">
        <v>843</v>
      </c>
      <c r="C878" s="9" t="s">
        <v>10607</v>
      </c>
      <c r="D878" s="57" t="str">
        <f>HYPERLINK("http://prodenv.dep.state.fl.us/DepNexus/public/electronic-documents/OG_843/facility!search","OG_843_Docs")</f>
        <v>OG_843_Docs</v>
      </c>
      <c r="E878" s="57" t="str">
        <f>HYPERLINK("https://ca.dep.state.fl.us/mapdirect/?focus=oilandgas&amp;zoom=query&amp;querytype=oilandgas&amp;queryvalues=OG_843","OG_843_Map")</f>
        <v>OG_843_Map</v>
      </c>
      <c r="F878" s="1" t="s">
        <v>265</v>
      </c>
      <c r="G878" s="1" t="s">
        <v>79</v>
      </c>
      <c r="H878" s="1" t="s">
        <v>7255</v>
      </c>
      <c r="I878" s="1" t="s">
        <v>10608</v>
      </c>
      <c r="J878" s="17" t="s">
        <v>207</v>
      </c>
      <c r="K878" s="17" t="s">
        <v>208</v>
      </c>
      <c r="L878" s="17"/>
      <c r="M878" s="17" t="s">
        <v>207</v>
      </c>
      <c r="N878" s="52" t="s">
        <v>207</v>
      </c>
      <c r="O878" s="17" t="s">
        <v>270</v>
      </c>
      <c r="P878" s="17" t="s">
        <v>3395</v>
      </c>
      <c r="Q878" s="81" t="s">
        <v>9919</v>
      </c>
      <c r="R878" s="11">
        <v>26.176628999999998</v>
      </c>
      <c r="S878" s="11">
        <v>-81.247794999999996</v>
      </c>
      <c r="T878" s="11" t="s">
        <v>10609</v>
      </c>
      <c r="U878" s="11" t="s">
        <v>10610</v>
      </c>
      <c r="V878" s="17" t="s">
        <v>10611</v>
      </c>
      <c r="W878" s="17" t="s">
        <v>110</v>
      </c>
      <c r="X878" s="70"/>
      <c r="Y878" s="70"/>
      <c r="Z878" s="13">
        <v>27961</v>
      </c>
      <c r="AA878" s="13"/>
      <c r="AB878" s="13"/>
      <c r="AC878" s="13"/>
      <c r="AD878" s="86"/>
      <c r="AE878" s="70"/>
      <c r="AF878" s="70" t="s">
        <v>207</v>
      </c>
      <c r="AG878" s="14" t="s">
        <v>207</v>
      </c>
      <c r="AH878" s="14" t="s">
        <v>207</v>
      </c>
      <c r="AI878" s="70" t="s">
        <v>207</v>
      </c>
      <c r="AJ878" s="14" t="s">
        <v>207</v>
      </c>
      <c r="AK878" s="14" t="s">
        <v>207</v>
      </c>
      <c r="AL878" s="14" t="s">
        <v>207</v>
      </c>
      <c r="AM878" s="14" t="s">
        <v>207</v>
      </c>
      <c r="AN878" s="14" t="s">
        <v>207</v>
      </c>
      <c r="AO878" s="14" t="s">
        <v>207</v>
      </c>
      <c r="AP878" s="14" t="s">
        <v>207</v>
      </c>
      <c r="AQ878" s="14" t="s">
        <v>207</v>
      </c>
      <c r="AR878" s="14" t="s">
        <v>207</v>
      </c>
      <c r="AS878" s="14" t="s">
        <v>207</v>
      </c>
      <c r="AT878" s="14" t="s">
        <v>207</v>
      </c>
      <c r="AU878" s="30" t="s">
        <v>10612</v>
      </c>
      <c r="AV878" s="14" t="s">
        <v>207</v>
      </c>
      <c r="AW878" s="74"/>
      <c r="AX878" s="1"/>
      <c r="AY878" s="17" t="s">
        <v>101</v>
      </c>
    </row>
    <row r="879" spans="1:51" ht="12.75" customHeight="1" x14ac:dyDescent="0.25">
      <c r="A879" s="5">
        <v>844</v>
      </c>
      <c r="B879" s="9">
        <v>844</v>
      </c>
      <c r="C879" s="9" t="s">
        <v>10613</v>
      </c>
      <c r="D879" s="57" t="str">
        <f>HYPERLINK("http://prodenv.dep.state.fl.us/DepNexus/public/electronic-documents/OG_844/facility!search","OG_844_Docs")</f>
        <v>OG_844_Docs</v>
      </c>
      <c r="E879" s="57" t="str">
        <f>HYPERLINK("https://ca.dep.state.fl.us/mapdirect/?focus=oilandgas&amp;zoom=query&amp;querytype=oilandgas&amp;queryvalues=OG_844","OG_844_Map")</f>
        <v>OG_844_Map</v>
      </c>
      <c r="F879" s="1" t="s">
        <v>265</v>
      </c>
      <c r="G879" s="1" t="s">
        <v>79</v>
      </c>
      <c r="H879" s="1" t="s">
        <v>7255</v>
      </c>
      <c r="I879" s="1" t="s">
        <v>10614</v>
      </c>
      <c r="J879" s="17" t="s">
        <v>207</v>
      </c>
      <c r="K879" s="17" t="s">
        <v>208</v>
      </c>
      <c r="L879" s="17"/>
      <c r="M879" s="17" t="s">
        <v>207</v>
      </c>
      <c r="N879" s="52" t="s">
        <v>207</v>
      </c>
      <c r="O879" s="17" t="s">
        <v>270</v>
      </c>
      <c r="P879" s="17" t="s">
        <v>3395</v>
      </c>
      <c r="Q879" s="81" t="s">
        <v>10615</v>
      </c>
      <c r="R879" s="11">
        <v>26.192133999999999</v>
      </c>
      <c r="S879" s="11">
        <v>-81.174571999999998</v>
      </c>
      <c r="T879" s="11" t="s">
        <v>10616</v>
      </c>
      <c r="U879" s="11" t="s">
        <v>10617</v>
      </c>
      <c r="V879" s="17" t="s">
        <v>10618</v>
      </c>
      <c r="W879" s="17" t="s">
        <v>110</v>
      </c>
      <c r="X879" s="70"/>
      <c r="Y879" s="70"/>
      <c r="Z879" s="13">
        <v>27961</v>
      </c>
      <c r="AA879" s="13"/>
      <c r="AB879" s="13"/>
      <c r="AC879" s="13"/>
      <c r="AD879" s="86"/>
      <c r="AE879" s="70"/>
      <c r="AF879" s="70" t="s">
        <v>207</v>
      </c>
      <c r="AG879" s="14" t="s">
        <v>207</v>
      </c>
      <c r="AH879" s="14" t="s">
        <v>207</v>
      </c>
      <c r="AI879" s="70" t="s">
        <v>207</v>
      </c>
      <c r="AJ879" s="14" t="s">
        <v>207</v>
      </c>
      <c r="AK879" s="14" t="s">
        <v>207</v>
      </c>
      <c r="AL879" s="14" t="s">
        <v>207</v>
      </c>
      <c r="AM879" s="14" t="s">
        <v>207</v>
      </c>
      <c r="AN879" s="14" t="s">
        <v>207</v>
      </c>
      <c r="AO879" s="14" t="s">
        <v>207</v>
      </c>
      <c r="AP879" s="14" t="s">
        <v>207</v>
      </c>
      <c r="AQ879" s="14" t="s">
        <v>207</v>
      </c>
      <c r="AR879" s="14" t="s">
        <v>207</v>
      </c>
      <c r="AS879" s="14" t="s">
        <v>207</v>
      </c>
      <c r="AT879" s="14" t="s">
        <v>207</v>
      </c>
      <c r="AU879" s="30" t="s">
        <v>10619</v>
      </c>
      <c r="AV879" s="14" t="s">
        <v>207</v>
      </c>
      <c r="AW879" s="74"/>
      <c r="AX879" s="1"/>
      <c r="AY879" s="17" t="s">
        <v>101</v>
      </c>
    </row>
    <row r="880" spans="1:51" ht="12.75" customHeight="1" x14ac:dyDescent="0.25">
      <c r="A880" s="5">
        <v>845</v>
      </c>
      <c r="B880" s="9">
        <v>845</v>
      </c>
      <c r="C880" s="9" t="s">
        <v>10620</v>
      </c>
      <c r="D880" s="57" t="str">
        <f>HYPERLINK("http://prodenv.dep.state.fl.us/DepNexus/public/electronic-documents/OG_845/facility!search","OG_845_Docs")</f>
        <v>OG_845_Docs</v>
      </c>
      <c r="E880" s="57" t="str">
        <f>HYPERLINK("https://ca.dep.state.fl.us/mapdirect/?focus=oilandgas&amp;zoom=query&amp;querytype=oilandgas&amp;queryvalues=OG_845","OG_845_Map")</f>
        <v>OG_845_Map</v>
      </c>
      <c r="F880" s="1" t="s">
        <v>265</v>
      </c>
      <c r="G880" s="1" t="s">
        <v>79</v>
      </c>
      <c r="H880" s="1" t="s">
        <v>7255</v>
      </c>
      <c r="I880" s="1" t="s">
        <v>10621</v>
      </c>
      <c r="J880" s="17" t="s">
        <v>207</v>
      </c>
      <c r="K880" s="17" t="s">
        <v>208</v>
      </c>
      <c r="L880" s="17"/>
      <c r="M880" s="17" t="s">
        <v>207</v>
      </c>
      <c r="N880" s="52" t="s">
        <v>207</v>
      </c>
      <c r="O880" s="17" t="s">
        <v>270</v>
      </c>
      <c r="P880" s="17" t="s">
        <v>3395</v>
      </c>
      <c r="Q880" s="81" t="s">
        <v>10622</v>
      </c>
      <c r="R880" s="11">
        <v>26.176846999999999</v>
      </c>
      <c r="S880" s="11">
        <v>-81.262679000000006</v>
      </c>
      <c r="T880" s="11" t="s">
        <v>10623</v>
      </c>
      <c r="U880" s="11" t="s">
        <v>10624</v>
      </c>
      <c r="V880" s="17" t="s">
        <v>10625</v>
      </c>
      <c r="W880" s="17" t="s">
        <v>110</v>
      </c>
      <c r="X880" s="70"/>
      <c r="Y880" s="70"/>
      <c r="Z880" s="13">
        <v>27961</v>
      </c>
      <c r="AA880" s="13"/>
      <c r="AB880" s="13"/>
      <c r="AC880" s="13"/>
      <c r="AD880" s="86"/>
      <c r="AE880" s="70"/>
      <c r="AF880" s="70" t="s">
        <v>207</v>
      </c>
      <c r="AG880" s="14" t="s">
        <v>207</v>
      </c>
      <c r="AH880" s="14" t="s">
        <v>207</v>
      </c>
      <c r="AI880" s="70" t="s">
        <v>207</v>
      </c>
      <c r="AJ880" s="14" t="s">
        <v>207</v>
      </c>
      <c r="AK880" s="14" t="s">
        <v>207</v>
      </c>
      <c r="AL880" s="14" t="s">
        <v>207</v>
      </c>
      <c r="AM880" s="14" t="s">
        <v>207</v>
      </c>
      <c r="AN880" s="14" t="s">
        <v>207</v>
      </c>
      <c r="AO880" s="14" t="s">
        <v>207</v>
      </c>
      <c r="AP880" s="14" t="s">
        <v>207</v>
      </c>
      <c r="AQ880" s="14" t="s">
        <v>207</v>
      </c>
      <c r="AR880" s="14" t="s">
        <v>207</v>
      </c>
      <c r="AS880" s="14" t="s">
        <v>207</v>
      </c>
      <c r="AT880" s="14" t="s">
        <v>207</v>
      </c>
      <c r="AU880" s="30" t="s">
        <v>10626</v>
      </c>
      <c r="AV880" s="14" t="s">
        <v>207</v>
      </c>
      <c r="AW880" s="74"/>
      <c r="AX880" s="1"/>
      <c r="AY880" s="17" t="s">
        <v>101</v>
      </c>
    </row>
    <row r="881" spans="1:51" ht="12.75" customHeight="1" x14ac:dyDescent="0.25">
      <c r="A881" s="5">
        <v>846</v>
      </c>
      <c r="B881" s="9">
        <v>846</v>
      </c>
      <c r="C881" s="9" t="s">
        <v>10627</v>
      </c>
      <c r="D881" s="57" t="str">
        <f>HYPERLINK("http://prodenv.dep.state.fl.us/DepNexus/public/electronic-documents/OG_846/facility!search","OG_846_Docs")</f>
        <v>OG_846_Docs</v>
      </c>
      <c r="E881" s="57" t="str">
        <f>HYPERLINK("https://ca.dep.state.fl.us/mapdirect/?focus=oilandgas&amp;zoom=query&amp;querytype=oilandgas&amp;queryvalues=OG_846","OG_846_Map")</f>
        <v>OG_846_Map</v>
      </c>
      <c r="F881" s="1" t="s">
        <v>539</v>
      </c>
      <c r="G881" s="1" t="s">
        <v>79</v>
      </c>
      <c r="H881" s="1" t="s">
        <v>8261</v>
      </c>
      <c r="I881" s="1" t="s">
        <v>10628</v>
      </c>
      <c r="J881" s="17" t="s">
        <v>82</v>
      </c>
      <c r="K881" s="17" t="s">
        <v>83</v>
      </c>
      <c r="L881" s="17"/>
      <c r="M881" s="17" t="s">
        <v>101</v>
      </c>
      <c r="N881" s="52" t="s">
        <v>7568</v>
      </c>
      <c r="O881" s="17" t="s">
        <v>86</v>
      </c>
      <c r="P881" s="17" t="s">
        <v>86</v>
      </c>
      <c r="Q881" s="81" t="s">
        <v>10629</v>
      </c>
      <c r="R881" s="11">
        <v>30.116534999999999</v>
      </c>
      <c r="S881" s="11">
        <v>-85.268668000000005</v>
      </c>
      <c r="T881" s="11" t="s">
        <v>10630</v>
      </c>
      <c r="U881" s="11" t="s">
        <v>10631</v>
      </c>
      <c r="V881" s="17" t="s">
        <v>10632</v>
      </c>
      <c r="W881" s="17" t="s">
        <v>110</v>
      </c>
      <c r="X881" s="70">
        <v>59</v>
      </c>
      <c r="Y881" s="70">
        <v>41.8</v>
      </c>
      <c r="Z881" s="13">
        <v>27940</v>
      </c>
      <c r="AA881" s="13">
        <v>27979</v>
      </c>
      <c r="AB881" s="13"/>
      <c r="AC881" s="13">
        <v>28069</v>
      </c>
      <c r="AD881" s="86">
        <v>13606</v>
      </c>
      <c r="AE881" s="86">
        <v>13606</v>
      </c>
      <c r="AF881" s="70" t="s">
        <v>10633</v>
      </c>
      <c r="AG881" s="17" t="s">
        <v>10634</v>
      </c>
      <c r="AH881" s="17" t="s">
        <v>10635</v>
      </c>
      <c r="AI881" s="70" t="s">
        <v>94</v>
      </c>
      <c r="AJ881" s="17" t="s">
        <v>94</v>
      </c>
      <c r="AK881" s="17" t="s">
        <v>95</v>
      </c>
      <c r="AL881" s="17" t="s">
        <v>10636</v>
      </c>
      <c r="AM881" s="17" t="s">
        <v>94</v>
      </c>
      <c r="AN881" s="17" t="s">
        <v>94</v>
      </c>
      <c r="AO881" s="17" t="s">
        <v>98</v>
      </c>
      <c r="AP881" s="17" t="s">
        <v>98</v>
      </c>
      <c r="AQ881" s="17" t="s">
        <v>98</v>
      </c>
      <c r="AR881" s="17" t="s">
        <v>94</v>
      </c>
      <c r="AS881" s="17" t="s">
        <v>10637</v>
      </c>
      <c r="AT881" s="17"/>
      <c r="AU881" s="30" t="s">
        <v>10638</v>
      </c>
      <c r="AV881" s="14">
        <v>13341</v>
      </c>
      <c r="AW881" s="74"/>
      <c r="AX881" s="1"/>
      <c r="AY881" s="17" t="s">
        <v>101</v>
      </c>
    </row>
    <row r="882" spans="1:51" ht="12.75" customHeight="1" x14ac:dyDescent="0.25">
      <c r="A882" s="5">
        <v>847</v>
      </c>
      <c r="B882" s="9">
        <v>847</v>
      </c>
      <c r="C882" s="9" t="s">
        <v>10639</v>
      </c>
      <c r="D882" s="57" t="str">
        <f>HYPERLINK("http://prodenv.dep.state.fl.us/DepNexus/public/electronic-documents/OG_847/facility!search","OG_847_Docs")</f>
        <v>OG_847_Docs</v>
      </c>
      <c r="E882" s="57" t="str">
        <f>HYPERLINK("https://ca.dep.state.fl.us/mapdirect/?focus=oilandgas&amp;zoom=query&amp;querytype=oilandgas&amp;queryvalues=OG_847","OG_847_Map")</f>
        <v>OG_847_Map</v>
      </c>
      <c r="F882" s="1" t="s">
        <v>2026</v>
      </c>
      <c r="G882" s="1" t="s">
        <v>79</v>
      </c>
      <c r="H882" s="1" t="s">
        <v>8261</v>
      </c>
      <c r="I882" s="1" t="s">
        <v>10640</v>
      </c>
      <c r="J882" s="17" t="s">
        <v>82</v>
      </c>
      <c r="K882" s="17" t="s">
        <v>83</v>
      </c>
      <c r="L882" s="17"/>
      <c r="M882" s="17"/>
      <c r="N882" s="52" t="s">
        <v>86</v>
      </c>
      <c r="O882" s="17" t="s">
        <v>86</v>
      </c>
      <c r="P882" s="17" t="s">
        <v>86</v>
      </c>
      <c r="Q882" s="81" t="s">
        <v>10641</v>
      </c>
      <c r="R882" s="11">
        <v>26.653269999999999</v>
      </c>
      <c r="S882" s="11">
        <v>-81.748975999999999</v>
      </c>
      <c r="T882" s="11" t="s">
        <v>10642</v>
      </c>
      <c r="U882" s="11" t="s">
        <v>10643</v>
      </c>
      <c r="V882" s="17" t="s">
        <v>10644</v>
      </c>
      <c r="W882" s="17" t="s">
        <v>110</v>
      </c>
      <c r="X882" s="70">
        <v>43.2</v>
      </c>
      <c r="Y882" s="70">
        <v>20.2</v>
      </c>
      <c r="Z882" s="13">
        <v>27961</v>
      </c>
      <c r="AA882" s="13">
        <v>28003</v>
      </c>
      <c r="AB882" s="13"/>
      <c r="AC882" s="13">
        <v>28038</v>
      </c>
      <c r="AD882" s="86">
        <v>11622</v>
      </c>
      <c r="AE882" s="86">
        <v>11622</v>
      </c>
      <c r="AF882" s="70" t="s">
        <v>10645</v>
      </c>
      <c r="AG882" s="17" t="s">
        <v>10646</v>
      </c>
      <c r="AH882" s="17" t="s">
        <v>4600</v>
      </c>
      <c r="AI882" s="70" t="s">
        <v>94</v>
      </c>
      <c r="AJ882" s="17" t="s">
        <v>94</v>
      </c>
      <c r="AK882" s="17" t="s">
        <v>94</v>
      </c>
      <c r="AL882" s="17" t="s">
        <v>94</v>
      </c>
      <c r="AM882" s="17" t="s">
        <v>94</v>
      </c>
      <c r="AN882" s="17" t="s">
        <v>94</v>
      </c>
      <c r="AO882" s="17" t="s">
        <v>98</v>
      </c>
      <c r="AP882" s="17" t="s">
        <v>98</v>
      </c>
      <c r="AQ882" s="17" t="s">
        <v>98</v>
      </c>
      <c r="AR882" s="17" t="s">
        <v>94</v>
      </c>
      <c r="AS882" s="17" t="s">
        <v>10647</v>
      </c>
      <c r="AT882" s="17"/>
      <c r="AU882" s="30" t="s">
        <v>10648</v>
      </c>
      <c r="AV882" s="14">
        <v>13345</v>
      </c>
      <c r="AW882" s="74"/>
      <c r="AX882" s="1"/>
      <c r="AY882" s="17" t="s">
        <v>101</v>
      </c>
    </row>
    <row r="883" spans="1:51" ht="12.75" customHeight="1" x14ac:dyDescent="0.25">
      <c r="A883" s="5">
        <v>848</v>
      </c>
      <c r="B883" s="9">
        <v>848</v>
      </c>
      <c r="C883" s="9" t="s">
        <v>10649</v>
      </c>
      <c r="D883" s="57" t="str">
        <f>HYPERLINK("http://prodenv.dep.state.fl.us/DepNexus/public/electronic-documents/OG_848/facility!search","OG_848_Docs")</f>
        <v>OG_848_Docs</v>
      </c>
      <c r="E883" s="57" t="str">
        <f>HYPERLINK("https://ca.dep.state.fl.us/mapdirect/?focus=oilandgas&amp;zoom=query&amp;querytype=oilandgas&amp;queryvalues=OG_848","OG_848_Map")</f>
        <v>OG_848_Map</v>
      </c>
      <c r="F883" s="1" t="s">
        <v>1752</v>
      </c>
      <c r="G883" s="1" t="s">
        <v>79</v>
      </c>
      <c r="H883" s="1" t="s">
        <v>10330</v>
      </c>
      <c r="I883" s="1" t="s">
        <v>10650</v>
      </c>
      <c r="J883" s="17" t="s">
        <v>82</v>
      </c>
      <c r="K883" s="17" t="s">
        <v>83</v>
      </c>
      <c r="L883" s="17"/>
      <c r="M883" s="17"/>
      <c r="N883" s="52" t="s">
        <v>6529</v>
      </c>
      <c r="O883" s="17" t="s">
        <v>86</v>
      </c>
      <c r="P883" s="17" t="s">
        <v>86</v>
      </c>
      <c r="Q883" s="81" t="s">
        <v>10651</v>
      </c>
      <c r="R883" s="11">
        <v>26.613620999999998</v>
      </c>
      <c r="S883" s="11">
        <v>-81.343759000000006</v>
      </c>
      <c r="T883" s="11" t="s">
        <v>10652</v>
      </c>
      <c r="U883" s="11" t="s">
        <v>10653</v>
      </c>
      <c r="V883" s="17" t="s">
        <v>10654</v>
      </c>
      <c r="W883" s="17" t="s">
        <v>110</v>
      </c>
      <c r="X883" s="70">
        <v>44.1</v>
      </c>
      <c r="Y883" s="70">
        <v>29</v>
      </c>
      <c r="Z883" s="13">
        <v>27975</v>
      </c>
      <c r="AA883" s="13">
        <v>28777</v>
      </c>
      <c r="AB883" s="13">
        <v>28830</v>
      </c>
      <c r="AC883" s="13">
        <v>28833</v>
      </c>
      <c r="AD883" s="86">
        <v>12340</v>
      </c>
      <c r="AE883" s="86">
        <v>12340</v>
      </c>
      <c r="AF883" s="70" t="s">
        <v>10655</v>
      </c>
      <c r="AG883" s="17" t="s">
        <v>10656</v>
      </c>
      <c r="AH883" s="17" t="s">
        <v>9621</v>
      </c>
      <c r="AI883" s="70" t="s">
        <v>94</v>
      </c>
      <c r="AJ883" s="17" t="s">
        <v>94</v>
      </c>
      <c r="AK883" s="17" t="s">
        <v>94</v>
      </c>
      <c r="AL883" s="17" t="s">
        <v>10657</v>
      </c>
      <c r="AM883" s="17" t="s">
        <v>95</v>
      </c>
      <c r="AN883" s="17" t="s">
        <v>94</v>
      </c>
      <c r="AO883" s="17" t="s">
        <v>98</v>
      </c>
      <c r="AP883" s="17" t="s">
        <v>98</v>
      </c>
      <c r="AQ883" s="17" t="s">
        <v>98</v>
      </c>
      <c r="AR883" s="17" t="s">
        <v>94</v>
      </c>
      <c r="AS883" s="17" t="s">
        <v>10658</v>
      </c>
      <c r="AT883" s="17"/>
      <c r="AU883" s="30" t="s">
        <v>10659</v>
      </c>
      <c r="AV883" s="14">
        <v>14112</v>
      </c>
      <c r="AW883" s="74"/>
      <c r="AX883" s="1"/>
      <c r="AY883" s="17" t="s">
        <v>101</v>
      </c>
    </row>
    <row r="884" spans="1:51" ht="12.75" customHeight="1" x14ac:dyDescent="0.25">
      <c r="A884" s="5">
        <v>849</v>
      </c>
      <c r="B884" s="9">
        <v>849</v>
      </c>
      <c r="C884" s="9" t="s">
        <v>10660</v>
      </c>
      <c r="D884" s="57" t="str">
        <f>HYPERLINK("http://prodenv.dep.state.fl.us/DepNexus/public/electronic-documents/OG_849/facility!search","OG_849_Docs")</f>
        <v>OG_849_Docs</v>
      </c>
      <c r="E884" s="57" t="str">
        <f>HYPERLINK("https://ca.dep.state.fl.us/mapdirect/?focus=oilandgas&amp;zoom=query&amp;querytype=oilandgas&amp;queryvalues=OG_849","OG_849_Map")</f>
        <v>OG_849_Map</v>
      </c>
      <c r="F884" s="1" t="s">
        <v>265</v>
      </c>
      <c r="G884" s="1" t="s">
        <v>4879</v>
      </c>
      <c r="H884" s="1" t="s">
        <v>9710</v>
      </c>
      <c r="I884" s="1" t="s">
        <v>10661</v>
      </c>
      <c r="J884" s="17" t="s">
        <v>82</v>
      </c>
      <c r="K884" s="17" t="s">
        <v>83</v>
      </c>
      <c r="L884" s="17"/>
      <c r="M884" s="17"/>
      <c r="N884" s="52" t="s">
        <v>5949</v>
      </c>
      <c r="O884" s="17" t="s">
        <v>86</v>
      </c>
      <c r="P884" s="17" t="s">
        <v>86</v>
      </c>
      <c r="Q884" s="81" t="s">
        <v>10662</v>
      </c>
      <c r="R884" s="11">
        <v>26.404675999999998</v>
      </c>
      <c r="S884" s="11">
        <v>-81.525396999999998</v>
      </c>
      <c r="T884" s="11" t="s">
        <v>10663</v>
      </c>
      <c r="U884" s="11" t="s">
        <v>10664</v>
      </c>
      <c r="V884" s="17" t="s">
        <v>10665</v>
      </c>
      <c r="W884" s="17" t="s">
        <v>110</v>
      </c>
      <c r="X884" s="70">
        <v>38</v>
      </c>
      <c r="Y884" s="70">
        <v>20</v>
      </c>
      <c r="Z884" s="13">
        <v>27975</v>
      </c>
      <c r="AA884" s="13">
        <v>28030</v>
      </c>
      <c r="AB884" s="13"/>
      <c r="AC884" s="13">
        <v>28069</v>
      </c>
      <c r="AD884" s="86">
        <v>11901</v>
      </c>
      <c r="AE884" s="86">
        <v>11901</v>
      </c>
      <c r="AF884" s="70" t="s">
        <v>10666</v>
      </c>
      <c r="AG884" s="17" t="s">
        <v>7652</v>
      </c>
      <c r="AH884" s="17" t="s">
        <v>10667</v>
      </c>
      <c r="AI884" s="70" t="s">
        <v>94</v>
      </c>
      <c r="AJ884" s="17" t="s">
        <v>94</v>
      </c>
      <c r="AK884" s="17" t="s">
        <v>95</v>
      </c>
      <c r="AL884" s="17" t="s">
        <v>10668</v>
      </c>
      <c r="AM884" s="17" t="s">
        <v>95</v>
      </c>
      <c r="AN884" s="17" t="s">
        <v>94</v>
      </c>
      <c r="AO884" s="17" t="s">
        <v>98</v>
      </c>
      <c r="AP884" s="17" t="s">
        <v>98</v>
      </c>
      <c r="AQ884" s="17" t="s">
        <v>98</v>
      </c>
      <c r="AR884" s="17" t="s">
        <v>94</v>
      </c>
      <c r="AS884" s="17" t="s">
        <v>10669</v>
      </c>
      <c r="AT884" s="17"/>
      <c r="AU884" s="30" t="s">
        <v>10670</v>
      </c>
      <c r="AV884" s="14">
        <v>13487</v>
      </c>
      <c r="AW884" s="74"/>
      <c r="AX884" s="1"/>
      <c r="AY884" s="17" t="s">
        <v>101</v>
      </c>
    </row>
    <row r="885" spans="1:51" ht="12.75" customHeight="1" x14ac:dyDescent="0.25">
      <c r="A885" s="5">
        <v>850</v>
      </c>
      <c r="B885" s="9">
        <v>850</v>
      </c>
      <c r="C885" s="9" t="s">
        <v>10671</v>
      </c>
      <c r="D885" s="57" t="str">
        <f>HYPERLINK("http://prodenv.dep.state.fl.us/DepNexus/public/electronic-documents/OG_850/facility!search","OG_850_Docs")</f>
        <v>OG_850_Docs</v>
      </c>
      <c r="E885" s="57" t="str">
        <f>HYPERLINK("https://ca.dep.state.fl.us/mapdirect/?focus=oilandgas&amp;zoom=query&amp;querytype=oilandgas&amp;queryvalues=OG_850","OG_850_Map")</f>
        <v>OG_850_Map</v>
      </c>
      <c r="F885" s="1" t="s">
        <v>2026</v>
      </c>
      <c r="G885" s="1" t="s">
        <v>9085</v>
      </c>
      <c r="H885" s="1" t="s">
        <v>8261</v>
      </c>
      <c r="I885" s="1" t="s">
        <v>10672</v>
      </c>
      <c r="J885" s="17" t="s">
        <v>268</v>
      </c>
      <c r="K885" s="17" t="s">
        <v>412</v>
      </c>
      <c r="L885" s="17"/>
      <c r="M885" s="17"/>
      <c r="N885" s="52" t="s">
        <v>10673</v>
      </c>
      <c r="O885" s="17" t="s">
        <v>86</v>
      </c>
      <c r="P885" s="17" t="s">
        <v>86</v>
      </c>
      <c r="Q885" s="81" t="s">
        <v>10674</v>
      </c>
      <c r="R885" s="11">
        <v>26.631366</v>
      </c>
      <c r="S885" s="11">
        <v>-81.699630999999997</v>
      </c>
      <c r="T885" s="11" t="s">
        <v>10675</v>
      </c>
      <c r="U885" s="11" t="s">
        <v>10676</v>
      </c>
      <c r="V885" s="17" t="s">
        <v>10677</v>
      </c>
      <c r="W885" s="17" t="s">
        <v>10678</v>
      </c>
      <c r="X885" s="70">
        <v>46.1</v>
      </c>
      <c r="Y885" s="70">
        <v>22</v>
      </c>
      <c r="Z885" s="13">
        <v>28010</v>
      </c>
      <c r="AA885" s="13">
        <v>28046</v>
      </c>
      <c r="AB885" s="13">
        <v>28167</v>
      </c>
      <c r="AC885" s="13">
        <v>33078</v>
      </c>
      <c r="AD885" s="86">
        <v>11475</v>
      </c>
      <c r="AE885" s="86">
        <v>12464</v>
      </c>
      <c r="AF885" s="70" t="s">
        <v>10645</v>
      </c>
      <c r="AG885" s="17" t="s">
        <v>10679</v>
      </c>
      <c r="AH885" s="17" t="s">
        <v>4600</v>
      </c>
      <c r="AI885" s="70" t="s">
        <v>10680</v>
      </c>
      <c r="AJ885" s="17" t="s">
        <v>10681</v>
      </c>
      <c r="AK885" s="17" t="s">
        <v>825</v>
      </c>
      <c r="AL885" s="17" t="s">
        <v>10682</v>
      </c>
      <c r="AM885" s="17" t="s">
        <v>95</v>
      </c>
      <c r="AN885" s="17" t="s">
        <v>94</v>
      </c>
      <c r="AO885" s="17" t="s">
        <v>10683</v>
      </c>
      <c r="AP885" s="17" t="s">
        <v>6135</v>
      </c>
      <c r="AQ885" s="17" t="s">
        <v>10684</v>
      </c>
      <c r="AR885" s="17" t="s">
        <v>10685</v>
      </c>
      <c r="AS885" s="17" t="s">
        <v>10686</v>
      </c>
      <c r="AT885" s="17">
        <v>190</v>
      </c>
      <c r="AU885" s="30" t="s">
        <v>10687</v>
      </c>
      <c r="AV885" s="14">
        <v>13483</v>
      </c>
      <c r="AW885" s="74"/>
      <c r="AX885" s="1"/>
      <c r="AY885" s="17" t="s">
        <v>101</v>
      </c>
    </row>
    <row r="886" spans="1:51" ht="12.75" customHeight="1" x14ac:dyDescent="0.25">
      <c r="A886" s="5">
        <v>851</v>
      </c>
      <c r="B886" s="9">
        <v>851</v>
      </c>
      <c r="C886" s="9" t="s">
        <v>10688</v>
      </c>
      <c r="D886" s="57" t="str">
        <f>HYPERLINK("http://prodenv.dep.state.fl.us/DepNexus/public/electronic-documents/OG_851/facility!search","OG_851_Docs")</f>
        <v>OG_851_Docs</v>
      </c>
      <c r="E886" s="57" t="str">
        <f>HYPERLINK("https://ca.dep.state.fl.us/mapdirect/?focus=oilandgas&amp;zoom=query&amp;querytype=oilandgas&amp;queryvalues=OG_851","OG_851_Map")</f>
        <v>OG_851_Map</v>
      </c>
      <c r="F886" s="1" t="s">
        <v>2026</v>
      </c>
      <c r="G886" s="1" t="s">
        <v>79</v>
      </c>
      <c r="H886" s="1" t="s">
        <v>10689</v>
      </c>
      <c r="I886" s="1" t="s">
        <v>10690</v>
      </c>
      <c r="J886" s="17" t="s">
        <v>82</v>
      </c>
      <c r="K886" s="17" t="s">
        <v>83</v>
      </c>
      <c r="L886" s="17" t="s">
        <v>101</v>
      </c>
      <c r="M886" s="17" t="s">
        <v>101</v>
      </c>
      <c r="N886" s="52" t="s">
        <v>4735</v>
      </c>
      <c r="O886" s="17" t="s">
        <v>86</v>
      </c>
      <c r="P886" s="17" t="s">
        <v>86</v>
      </c>
      <c r="Q886" s="81" t="s">
        <v>10691</v>
      </c>
      <c r="R886" s="11">
        <v>26.432742999999999</v>
      </c>
      <c r="S886" s="11">
        <v>-81.679249999999996</v>
      </c>
      <c r="T886" s="11" t="s">
        <v>10692</v>
      </c>
      <c r="U886" s="11" t="s">
        <v>10693</v>
      </c>
      <c r="V886" s="17" t="s">
        <v>10694</v>
      </c>
      <c r="W886" s="17" t="s">
        <v>110</v>
      </c>
      <c r="X886" s="70">
        <v>37.72</v>
      </c>
      <c r="Y886" s="70">
        <v>20.309999999999999</v>
      </c>
      <c r="Z886" s="13">
        <v>28010</v>
      </c>
      <c r="AA886" s="13">
        <v>28071</v>
      </c>
      <c r="AB886" s="13"/>
      <c r="AC886" s="13">
        <v>28103</v>
      </c>
      <c r="AD886" s="86">
        <v>11927</v>
      </c>
      <c r="AE886" s="86">
        <v>11927</v>
      </c>
      <c r="AF886" s="70" t="s">
        <v>10695</v>
      </c>
      <c r="AG886" s="17" t="s">
        <v>10696</v>
      </c>
      <c r="AH886" s="17" t="s">
        <v>5114</v>
      </c>
      <c r="AI886" s="70" t="s">
        <v>94</v>
      </c>
      <c r="AJ886" s="17" t="s">
        <v>94</v>
      </c>
      <c r="AK886" s="17" t="s">
        <v>95</v>
      </c>
      <c r="AL886" s="17" t="s">
        <v>10697</v>
      </c>
      <c r="AM886" s="17" t="s">
        <v>94</v>
      </c>
      <c r="AN886" s="17" t="s">
        <v>94</v>
      </c>
      <c r="AO886" s="17" t="s">
        <v>98</v>
      </c>
      <c r="AP886" s="17" t="s">
        <v>98</v>
      </c>
      <c r="AQ886" s="17" t="s">
        <v>98</v>
      </c>
      <c r="AR886" s="17" t="s">
        <v>94</v>
      </c>
      <c r="AS886" s="17" t="s">
        <v>10698</v>
      </c>
      <c r="AT886" s="17"/>
      <c r="AU886" s="30" t="s">
        <v>10699</v>
      </c>
      <c r="AV886" s="14">
        <v>13449</v>
      </c>
      <c r="AW886" s="74"/>
      <c r="AX886" s="1"/>
      <c r="AY886" s="17" t="s">
        <v>101</v>
      </c>
    </row>
    <row r="887" spans="1:51" ht="15" customHeight="1" x14ac:dyDescent="0.25">
      <c r="A887" s="5">
        <v>852</v>
      </c>
      <c r="B887" s="9">
        <v>852</v>
      </c>
      <c r="C887" s="9" t="s">
        <v>10700</v>
      </c>
      <c r="D887" s="57" t="str">
        <f>HYPERLINK("http://prodenv.dep.state.fl.us/DepNexus/public/electronic-documents/OG_852/facility!search","OG_852_Docs")</f>
        <v>OG_852_Docs</v>
      </c>
      <c r="E887" s="57" t="str">
        <f>HYPERLINK("https://ca.dep.state.fl.us/mapdirect/?focus=oilandgas&amp;zoom=query&amp;querytype=oilandgas&amp;queryvalues=OG_852","OG_852_Map")</f>
        <v>OG_852_Map</v>
      </c>
      <c r="F887" s="1" t="s">
        <v>265</v>
      </c>
      <c r="G887" s="1" t="s">
        <v>4496</v>
      </c>
      <c r="H887" s="1" t="s">
        <v>10689</v>
      </c>
      <c r="I887" s="1" t="s">
        <v>10701</v>
      </c>
      <c r="J887" s="17" t="s">
        <v>82</v>
      </c>
      <c r="K887" s="17" t="s">
        <v>83</v>
      </c>
      <c r="L887" s="17"/>
      <c r="M887" s="17"/>
      <c r="N887" s="52" t="s">
        <v>4735</v>
      </c>
      <c r="O887" s="17" t="s">
        <v>86</v>
      </c>
      <c r="P887" s="17" t="s">
        <v>86</v>
      </c>
      <c r="Q887" s="81" t="s">
        <v>10702</v>
      </c>
      <c r="R887" s="11">
        <v>26.510186000000001</v>
      </c>
      <c r="S887" s="11">
        <v>-81.542657000000005</v>
      </c>
      <c r="T887" s="11" t="s">
        <v>10703</v>
      </c>
      <c r="U887" s="11" t="s">
        <v>10704</v>
      </c>
      <c r="V887" s="17" t="s">
        <v>10705</v>
      </c>
      <c r="W887" s="17" t="s">
        <v>110</v>
      </c>
      <c r="X887" s="70">
        <v>47.6</v>
      </c>
      <c r="Y887" s="70">
        <v>31.1</v>
      </c>
      <c r="Z887" s="13">
        <v>28010</v>
      </c>
      <c r="AA887" s="13">
        <v>28026</v>
      </c>
      <c r="AB887" s="13"/>
      <c r="AC887" s="13">
        <v>28064</v>
      </c>
      <c r="AD887" s="86">
        <v>12477</v>
      </c>
      <c r="AE887" s="86">
        <v>12477</v>
      </c>
      <c r="AF887" s="70" t="s">
        <v>7888</v>
      </c>
      <c r="AG887" s="17" t="s">
        <v>10706</v>
      </c>
      <c r="AH887" s="17" t="s">
        <v>10326</v>
      </c>
      <c r="AI887" s="70" t="s">
        <v>94</v>
      </c>
      <c r="AJ887" s="17" t="s">
        <v>94</v>
      </c>
      <c r="AK887" s="17" t="s">
        <v>95</v>
      </c>
      <c r="AL887" s="17" t="s">
        <v>10707</v>
      </c>
      <c r="AM887" s="17" t="s">
        <v>94</v>
      </c>
      <c r="AN887" s="17" t="s">
        <v>94</v>
      </c>
      <c r="AO887" s="17" t="s">
        <v>98</v>
      </c>
      <c r="AP887" s="17" t="s">
        <v>98</v>
      </c>
      <c r="AQ887" s="17" t="s">
        <v>98</v>
      </c>
      <c r="AR887" s="17" t="s">
        <v>94</v>
      </c>
      <c r="AS887" s="17" t="s">
        <v>10708</v>
      </c>
      <c r="AT887" s="17"/>
      <c r="AU887" s="30" t="s">
        <v>10709</v>
      </c>
      <c r="AV887" s="14">
        <v>13486</v>
      </c>
      <c r="AW887" s="74"/>
      <c r="AX887" s="1"/>
      <c r="AY887" s="17" t="s">
        <v>101</v>
      </c>
    </row>
    <row r="888" spans="1:51" ht="12.75" customHeight="1" x14ac:dyDescent="0.25">
      <c r="A888" s="5">
        <v>853</v>
      </c>
      <c r="B888" s="9">
        <v>853</v>
      </c>
      <c r="C888" s="9" t="s">
        <v>10710</v>
      </c>
      <c r="D888" s="57" t="str">
        <f>HYPERLINK("http://prodenv.dep.state.fl.us/DepNexus/public/electronic-documents/OG_853/facility!search","OG_853_Docs")</f>
        <v>OG_853_Docs</v>
      </c>
      <c r="E888" s="57" t="str">
        <f>HYPERLINK("https://ca.dep.state.fl.us/mapdirect/?focus=oilandgas&amp;zoom=query&amp;querytype=oilandgas&amp;queryvalues=OG_853","OG_853_Map")</f>
        <v>OG_853_Map</v>
      </c>
      <c r="F888" s="1" t="s">
        <v>265</v>
      </c>
      <c r="G888" s="1" t="s">
        <v>79</v>
      </c>
      <c r="H888" s="1" t="s">
        <v>10689</v>
      </c>
      <c r="I888" s="1" t="s">
        <v>10711</v>
      </c>
      <c r="J888" s="17" t="s">
        <v>82</v>
      </c>
      <c r="K888" s="17" t="s">
        <v>83</v>
      </c>
      <c r="L888" s="17"/>
      <c r="M888" s="17" t="s">
        <v>101</v>
      </c>
      <c r="N888" s="52" t="s">
        <v>6289</v>
      </c>
      <c r="O888" s="17" t="s">
        <v>86</v>
      </c>
      <c r="P888" s="17" t="s">
        <v>86</v>
      </c>
      <c r="Q888" s="81" t="s">
        <v>10712</v>
      </c>
      <c r="R888" s="11">
        <v>26.443345999999998</v>
      </c>
      <c r="S888" s="11">
        <v>-81.517222000000004</v>
      </c>
      <c r="T888" s="11" t="s">
        <v>10713</v>
      </c>
      <c r="U888" s="11" t="s">
        <v>10714</v>
      </c>
      <c r="V888" s="17" t="s">
        <v>10715</v>
      </c>
      <c r="W888" s="17" t="s">
        <v>110</v>
      </c>
      <c r="X888" s="70">
        <v>37</v>
      </c>
      <c r="Y888" s="70">
        <v>21.6</v>
      </c>
      <c r="Z888" s="13">
        <v>28010</v>
      </c>
      <c r="AA888" s="13">
        <v>28111</v>
      </c>
      <c r="AB888" s="13"/>
      <c r="AC888" s="13">
        <v>28147</v>
      </c>
      <c r="AD888" s="86">
        <v>11814</v>
      </c>
      <c r="AE888" s="86">
        <v>11814</v>
      </c>
      <c r="AF888" s="70" t="s">
        <v>3961</v>
      </c>
      <c r="AG888" s="17" t="s">
        <v>10646</v>
      </c>
      <c r="AH888" s="17" t="s">
        <v>10716</v>
      </c>
      <c r="AI888" s="70" t="s">
        <v>94</v>
      </c>
      <c r="AJ888" s="17" t="s">
        <v>94</v>
      </c>
      <c r="AK888" s="17" t="s">
        <v>95</v>
      </c>
      <c r="AL888" s="17" t="s">
        <v>10717</v>
      </c>
      <c r="AM888" s="17" t="s">
        <v>95</v>
      </c>
      <c r="AN888" s="17" t="s">
        <v>94</v>
      </c>
      <c r="AO888" s="17" t="s">
        <v>98</v>
      </c>
      <c r="AP888" s="17" t="s">
        <v>98</v>
      </c>
      <c r="AQ888" s="17" t="s">
        <v>98</v>
      </c>
      <c r="AR888" s="17" t="s">
        <v>94</v>
      </c>
      <c r="AS888" s="17" t="s">
        <v>10718</v>
      </c>
      <c r="AT888" s="17">
        <v>190</v>
      </c>
      <c r="AU888" s="30" t="s">
        <v>10719</v>
      </c>
      <c r="AV888" s="14">
        <v>13506</v>
      </c>
      <c r="AW888" s="74"/>
      <c r="AX888" s="1"/>
      <c r="AY888" s="17" t="s">
        <v>101</v>
      </c>
    </row>
    <row r="889" spans="1:51" ht="12.75" customHeight="1" x14ac:dyDescent="0.25">
      <c r="A889" s="5">
        <v>854</v>
      </c>
      <c r="B889" s="9">
        <v>854</v>
      </c>
      <c r="C889" s="9" t="s">
        <v>10720</v>
      </c>
      <c r="D889" s="57" t="str">
        <f>HYPERLINK("http://prodenv.dep.state.fl.us/DepNexus/public/electronic-documents/OG_854/facility!search","OG_854_Docs")</f>
        <v>OG_854_Docs</v>
      </c>
      <c r="E889" s="57" t="str">
        <f>HYPERLINK("https://ca.dep.state.fl.us/mapdirect/?focus=oilandgas&amp;zoom=query&amp;querytype=oilandgas&amp;queryvalues=OG_854","OG_854_Map")</f>
        <v>OG_854_Map</v>
      </c>
      <c r="F889" s="1" t="s">
        <v>2576</v>
      </c>
      <c r="G889" s="1" t="s">
        <v>79</v>
      </c>
      <c r="H889" s="1" t="s">
        <v>6605</v>
      </c>
      <c r="I889" s="1" t="s">
        <v>10721</v>
      </c>
      <c r="J889" s="17" t="s">
        <v>82</v>
      </c>
      <c r="K889" s="17" t="s">
        <v>83</v>
      </c>
      <c r="L889" s="17"/>
      <c r="M889" s="17" t="s">
        <v>101</v>
      </c>
      <c r="N889" s="52" t="s">
        <v>5949</v>
      </c>
      <c r="O889" s="17" t="s">
        <v>86</v>
      </c>
      <c r="P889" s="17" t="s">
        <v>86</v>
      </c>
      <c r="Q889" s="81" t="s">
        <v>10722</v>
      </c>
      <c r="R889" s="11">
        <v>27.950149</v>
      </c>
      <c r="S889" s="11">
        <v>-81.525617999999994</v>
      </c>
      <c r="T889" s="11" t="s">
        <v>10723</v>
      </c>
      <c r="U889" s="11" t="s">
        <v>10724</v>
      </c>
      <c r="V889" s="17" t="s">
        <v>10725</v>
      </c>
      <c r="W889" s="17" t="s">
        <v>110</v>
      </c>
      <c r="X889" s="70">
        <v>15</v>
      </c>
      <c r="Y889" s="70">
        <v>75</v>
      </c>
      <c r="Z889" s="13">
        <v>28024</v>
      </c>
      <c r="AA889" s="13">
        <v>28074</v>
      </c>
      <c r="AB889" s="13">
        <v>28104</v>
      </c>
      <c r="AC889" s="13">
        <v>28107</v>
      </c>
      <c r="AD889" s="86">
        <v>7340</v>
      </c>
      <c r="AE889" s="86">
        <v>7340</v>
      </c>
      <c r="AF889" s="70" t="s">
        <v>10726</v>
      </c>
      <c r="AG889" s="17" t="s">
        <v>10727</v>
      </c>
      <c r="AH889" s="17" t="s">
        <v>10728</v>
      </c>
      <c r="AI889" s="70" t="s">
        <v>94</v>
      </c>
      <c r="AJ889" s="17" t="s">
        <v>94</v>
      </c>
      <c r="AK889" s="17" t="s">
        <v>94</v>
      </c>
      <c r="AL889" s="17" t="s">
        <v>94</v>
      </c>
      <c r="AM889" s="17" t="s">
        <v>94</v>
      </c>
      <c r="AN889" s="17" t="s">
        <v>86</v>
      </c>
      <c r="AO889" s="17" t="s">
        <v>98</v>
      </c>
      <c r="AP889" s="17" t="s">
        <v>98</v>
      </c>
      <c r="AQ889" s="17" t="s">
        <v>98</v>
      </c>
      <c r="AR889" s="17" t="s">
        <v>94</v>
      </c>
      <c r="AS889" s="17" t="s">
        <v>10729</v>
      </c>
      <c r="AT889" s="17">
        <v>140</v>
      </c>
      <c r="AU889" s="30" t="s">
        <v>10730</v>
      </c>
      <c r="AV889" s="14" t="s">
        <v>94</v>
      </c>
      <c r="AW889" s="74"/>
      <c r="AX889" s="1"/>
      <c r="AY889" s="17" t="s">
        <v>101</v>
      </c>
    </row>
    <row r="890" spans="1:51" ht="12.75" customHeight="1" x14ac:dyDescent="0.25">
      <c r="A890" s="5">
        <v>855</v>
      </c>
      <c r="B890" s="9">
        <v>855</v>
      </c>
      <c r="C890" s="9" t="s">
        <v>10731</v>
      </c>
      <c r="D890" s="57" t="str">
        <f>HYPERLINK("http://prodenv.dep.state.fl.us/DepNexus/public/electronic-documents/OG_855/facility!search","OG_855_Docs")</f>
        <v>OG_855_Docs</v>
      </c>
      <c r="E890" s="57" t="str">
        <f>HYPERLINK("https://ca.dep.state.fl.us/mapdirect/?focus=oilandgas&amp;zoom=query&amp;querytype=oilandgas&amp;queryvalues=OG_855","OG_855_Map")</f>
        <v>OG_855_Map</v>
      </c>
      <c r="F890" s="1" t="s">
        <v>1797</v>
      </c>
      <c r="G890" s="1" t="s">
        <v>79</v>
      </c>
      <c r="H890" s="1" t="s">
        <v>10732</v>
      </c>
      <c r="I890" s="1" t="s">
        <v>10733</v>
      </c>
      <c r="J890" s="17" t="s">
        <v>82</v>
      </c>
      <c r="K890" s="17" t="s">
        <v>83</v>
      </c>
      <c r="L890" s="17"/>
      <c r="M890" s="17"/>
      <c r="N890" s="52" t="s">
        <v>7977</v>
      </c>
      <c r="O890" s="17" t="s">
        <v>86</v>
      </c>
      <c r="P890" s="17" t="s">
        <v>86</v>
      </c>
      <c r="Q890" s="81" t="s">
        <v>10734</v>
      </c>
      <c r="R890" s="11">
        <v>30.781551</v>
      </c>
      <c r="S890" s="11">
        <v>-87.055288000000004</v>
      </c>
      <c r="T890" s="11" t="s">
        <v>10735</v>
      </c>
      <c r="U890" s="11" t="s">
        <v>10736</v>
      </c>
      <c r="V890" s="17" t="s">
        <v>10737</v>
      </c>
      <c r="W890" s="17" t="s">
        <v>110</v>
      </c>
      <c r="X890" s="70">
        <v>259</v>
      </c>
      <c r="Y890" s="70">
        <v>229</v>
      </c>
      <c r="Z890" s="13">
        <v>28024</v>
      </c>
      <c r="AA890" s="13">
        <v>28024</v>
      </c>
      <c r="AB890" s="13">
        <v>28069</v>
      </c>
      <c r="AC890" s="13">
        <v>28072</v>
      </c>
      <c r="AD890" s="86">
        <v>16728</v>
      </c>
      <c r="AE890" s="86">
        <v>16728</v>
      </c>
      <c r="AF890" s="70" t="s">
        <v>10738</v>
      </c>
      <c r="AG890" s="17" t="s">
        <v>10739</v>
      </c>
      <c r="AH890" s="17" t="s">
        <v>94</v>
      </c>
      <c r="AI890" s="70" t="s">
        <v>94</v>
      </c>
      <c r="AJ890" s="17" t="s">
        <v>94</v>
      </c>
      <c r="AK890" s="17" t="s">
        <v>94</v>
      </c>
      <c r="AL890" s="17">
        <v>16295</v>
      </c>
      <c r="AM890" s="17" t="s">
        <v>94</v>
      </c>
      <c r="AN890" s="17" t="s">
        <v>94</v>
      </c>
      <c r="AO890" s="17" t="s">
        <v>98</v>
      </c>
      <c r="AP890" s="17" t="s">
        <v>98</v>
      </c>
      <c r="AQ890" s="17" t="s">
        <v>98</v>
      </c>
      <c r="AR890" s="17" t="s">
        <v>94</v>
      </c>
      <c r="AS890" s="17" t="s">
        <v>10740</v>
      </c>
      <c r="AT890" s="17"/>
      <c r="AU890" s="30" t="s">
        <v>10741</v>
      </c>
      <c r="AV890" s="14">
        <v>13344</v>
      </c>
      <c r="AW890" s="74"/>
      <c r="AX890" s="1"/>
      <c r="AY890" s="17" t="s">
        <v>101</v>
      </c>
    </row>
    <row r="891" spans="1:51" ht="12.75" customHeight="1" x14ac:dyDescent="0.25">
      <c r="A891" s="5">
        <v>856</v>
      </c>
      <c r="B891" s="9">
        <v>856</v>
      </c>
      <c r="C891" s="9" t="s">
        <v>10742</v>
      </c>
      <c r="D891" s="57" t="str">
        <f>HYPERLINK("http://prodenv.dep.state.fl.us/DepNexus/public/electronic-documents/OG_856/facility!search","OG_856_Docs")</f>
        <v>OG_856_Docs</v>
      </c>
      <c r="E891" s="57" t="str">
        <f>HYPERLINK("https://ca.dep.state.fl.us/mapdirect/?focus=oilandgas&amp;zoom=query&amp;querytype=oilandgas&amp;queryvalues=OG_856","OG_856_Map")</f>
        <v>OG_856_Map</v>
      </c>
      <c r="F891" s="1" t="s">
        <v>265</v>
      </c>
      <c r="G891" s="1" t="s">
        <v>7239</v>
      </c>
      <c r="H891" s="1" t="s">
        <v>1363</v>
      </c>
      <c r="I891" s="1" t="s">
        <v>9541</v>
      </c>
      <c r="J891" s="17" t="s">
        <v>1365</v>
      </c>
      <c r="K891" s="17" t="s">
        <v>6189</v>
      </c>
      <c r="L891" s="17"/>
      <c r="M891" s="17"/>
      <c r="N891" s="52" t="s">
        <v>10743</v>
      </c>
      <c r="O891" s="17" t="s">
        <v>270</v>
      </c>
      <c r="P891" s="17" t="s">
        <v>86</v>
      </c>
      <c r="Q891" s="81" t="s">
        <v>10437</v>
      </c>
      <c r="R891" s="11">
        <v>26.258980999999999</v>
      </c>
      <c r="S891" s="11">
        <v>-81.303068999999994</v>
      </c>
      <c r="T891" s="11" t="s">
        <v>10744</v>
      </c>
      <c r="U891" s="11" t="s">
        <v>10745</v>
      </c>
      <c r="V891" s="17" t="s">
        <v>10746</v>
      </c>
      <c r="W891" s="17" t="s">
        <v>110</v>
      </c>
      <c r="X891" s="70">
        <v>44</v>
      </c>
      <c r="Y891" s="70">
        <v>18</v>
      </c>
      <c r="Z891" s="13">
        <v>28038</v>
      </c>
      <c r="AA891" s="13">
        <v>28135</v>
      </c>
      <c r="AB891" s="13">
        <v>28174</v>
      </c>
      <c r="AC891" s="13"/>
      <c r="AD891" s="86">
        <v>2500</v>
      </c>
      <c r="AE891" s="86">
        <v>2500</v>
      </c>
      <c r="AF891" s="70" t="s">
        <v>94</v>
      </c>
      <c r="AG891" s="17" t="s">
        <v>10747</v>
      </c>
      <c r="AH891" s="17" t="s">
        <v>10748</v>
      </c>
      <c r="AI891" s="70" t="s">
        <v>94</v>
      </c>
      <c r="AJ891" s="17" t="s">
        <v>10749</v>
      </c>
      <c r="AK891" s="17" t="s">
        <v>94</v>
      </c>
      <c r="AL891" s="17" t="s">
        <v>94</v>
      </c>
      <c r="AM891" s="17" t="s">
        <v>94</v>
      </c>
      <c r="AN891" s="17" t="s">
        <v>86</v>
      </c>
      <c r="AO891" s="17" t="s">
        <v>94</v>
      </c>
      <c r="AP891" s="17" t="s">
        <v>94</v>
      </c>
      <c r="AQ891" s="17" t="s">
        <v>94</v>
      </c>
      <c r="AR891" s="17" t="s">
        <v>9550</v>
      </c>
      <c r="AS891" s="17" t="s">
        <v>94</v>
      </c>
      <c r="AT891" s="17"/>
      <c r="AU891" s="30" t="s">
        <v>10750</v>
      </c>
      <c r="AV891" s="14" t="s">
        <v>94</v>
      </c>
      <c r="AW891" s="74">
        <v>314439</v>
      </c>
      <c r="AX891" s="1" t="s">
        <v>10751</v>
      </c>
      <c r="AY891" s="17" t="s">
        <v>101</v>
      </c>
    </row>
    <row r="892" spans="1:51" ht="12.75" customHeight="1" x14ac:dyDescent="0.25">
      <c r="A892" s="5">
        <v>857</v>
      </c>
      <c r="B892" s="9">
        <v>857</v>
      </c>
      <c r="C892" s="9" t="s">
        <v>10752</v>
      </c>
      <c r="D892" s="57" t="str">
        <f>HYPERLINK("http://prodenv.dep.state.fl.us/DepNexus/public/electronic-documents/OG_857/facility!search","OG_857_Docs")</f>
        <v>OG_857_Docs</v>
      </c>
      <c r="E892" s="57" t="str">
        <f>HYPERLINK("https://ca.dep.state.fl.us/mapdirect/?focus=oilandgas&amp;zoom=query&amp;querytype=oilandgas&amp;queryvalues=OG_857","OG_857_Map")</f>
        <v>OG_857_Map</v>
      </c>
      <c r="F892" s="1" t="s">
        <v>2026</v>
      </c>
      <c r="G892" s="1" t="s">
        <v>9085</v>
      </c>
      <c r="H892" s="1" t="s">
        <v>8261</v>
      </c>
      <c r="I892" s="1" t="s">
        <v>9934</v>
      </c>
      <c r="J892" s="17" t="s">
        <v>207</v>
      </c>
      <c r="K892" s="17" t="s">
        <v>208</v>
      </c>
      <c r="L892" s="17"/>
      <c r="M892" s="17" t="s">
        <v>207</v>
      </c>
      <c r="N892" s="52" t="s">
        <v>207</v>
      </c>
      <c r="O892" s="17" t="s">
        <v>86</v>
      </c>
      <c r="P892" s="17" t="s">
        <v>86</v>
      </c>
      <c r="Q892" s="81" t="s">
        <v>9935</v>
      </c>
      <c r="R892" s="11">
        <v>26.641684000000001</v>
      </c>
      <c r="S892" s="11">
        <v>-81.694254999999998</v>
      </c>
      <c r="T892" s="11" t="s">
        <v>10753</v>
      </c>
      <c r="U892" s="11" t="s">
        <v>10754</v>
      </c>
      <c r="V892" s="17" t="s">
        <v>10755</v>
      </c>
      <c r="W892" s="17" t="s">
        <v>10756</v>
      </c>
      <c r="X892" s="70"/>
      <c r="Y892" s="70"/>
      <c r="Z892" s="13">
        <v>28038</v>
      </c>
      <c r="AA892" s="13"/>
      <c r="AB892" s="13"/>
      <c r="AC892" s="13"/>
      <c r="AD892" s="86"/>
      <c r="AE892" s="70"/>
      <c r="AF892" s="70" t="s">
        <v>207</v>
      </c>
      <c r="AG892" s="14" t="s">
        <v>207</v>
      </c>
      <c r="AH892" s="14" t="s">
        <v>207</v>
      </c>
      <c r="AI892" s="70" t="s">
        <v>207</v>
      </c>
      <c r="AJ892" s="14" t="s">
        <v>207</v>
      </c>
      <c r="AK892" s="14" t="s">
        <v>207</v>
      </c>
      <c r="AL892" s="14" t="s">
        <v>207</v>
      </c>
      <c r="AM892" s="14" t="s">
        <v>207</v>
      </c>
      <c r="AN892" s="14" t="s">
        <v>207</v>
      </c>
      <c r="AO892" s="14" t="s">
        <v>207</v>
      </c>
      <c r="AP892" s="14" t="s">
        <v>207</v>
      </c>
      <c r="AQ892" s="14" t="s">
        <v>207</v>
      </c>
      <c r="AR892" s="14" t="s">
        <v>207</v>
      </c>
      <c r="AS892" s="14" t="s">
        <v>207</v>
      </c>
      <c r="AT892" s="14" t="s">
        <v>207</v>
      </c>
      <c r="AU892" s="30" t="s">
        <v>10757</v>
      </c>
      <c r="AV892" s="14" t="s">
        <v>207</v>
      </c>
      <c r="AW892" s="74"/>
      <c r="AX892" s="1" t="s">
        <v>10758</v>
      </c>
      <c r="AY892" s="17" t="s">
        <v>101</v>
      </c>
    </row>
    <row r="893" spans="1:51" ht="12.75" customHeight="1" x14ac:dyDescent="0.25">
      <c r="A893" s="5">
        <v>858</v>
      </c>
      <c r="B893" s="9">
        <v>858</v>
      </c>
      <c r="C893" s="9" t="s">
        <v>10759</v>
      </c>
      <c r="D893" s="57" t="str">
        <f>HYPERLINK("http://prodenv.dep.state.fl.us/DepNexus/public/electronic-documents/OG_858/facility!search","OG_858_Docs")</f>
        <v>OG_858_Docs</v>
      </c>
      <c r="E893" s="57" t="str">
        <f>HYPERLINK("https://ca.dep.state.fl.us/mapdirect/?focus=oilandgas&amp;zoom=query&amp;querytype=oilandgas&amp;queryvalues=OG_858","OG_858_Map")</f>
        <v>OG_858_Map</v>
      </c>
      <c r="F893" s="1" t="s">
        <v>2026</v>
      </c>
      <c r="G893" s="1" t="s">
        <v>9085</v>
      </c>
      <c r="H893" s="1" t="s">
        <v>8261</v>
      </c>
      <c r="I893" s="1" t="s">
        <v>10760</v>
      </c>
      <c r="J893" s="17" t="s">
        <v>268</v>
      </c>
      <c r="K893" s="17" t="s">
        <v>412</v>
      </c>
      <c r="L893" s="17"/>
      <c r="M893" s="17" t="s">
        <v>101</v>
      </c>
      <c r="N893" s="52" t="s">
        <v>10761</v>
      </c>
      <c r="O893" s="17" t="s">
        <v>86</v>
      </c>
      <c r="P893" s="17" t="s">
        <v>86</v>
      </c>
      <c r="Q893" s="81" t="s">
        <v>10762</v>
      </c>
      <c r="R893" s="11">
        <v>26.628799999999998</v>
      </c>
      <c r="S893" s="11">
        <v>-81.679446999999996</v>
      </c>
      <c r="T893" s="11" t="s">
        <v>10763</v>
      </c>
      <c r="U893" s="11" t="s">
        <v>10764</v>
      </c>
      <c r="V893" s="17" t="s">
        <v>10765</v>
      </c>
      <c r="W893" s="17" t="s">
        <v>10766</v>
      </c>
      <c r="X893" s="70">
        <v>42.6</v>
      </c>
      <c r="Y893" s="70">
        <v>19</v>
      </c>
      <c r="Z893" s="13">
        <v>28222</v>
      </c>
      <c r="AA893" s="13">
        <v>28326</v>
      </c>
      <c r="AB893" s="13">
        <v>28409</v>
      </c>
      <c r="AC893" s="13">
        <v>33387</v>
      </c>
      <c r="AD893" s="86">
        <v>11463</v>
      </c>
      <c r="AE893" s="86">
        <v>11834</v>
      </c>
      <c r="AF893" s="70" t="s">
        <v>10386</v>
      </c>
      <c r="AG893" s="17" t="s">
        <v>10767</v>
      </c>
      <c r="AH893" s="17" t="s">
        <v>5056</v>
      </c>
      <c r="AI893" s="70" t="s">
        <v>10768</v>
      </c>
      <c r="AJ893" s="17" t="s">
        <v>10769</v>
      </c>
      <c r="AK893" s="17" t="s">
        <v>95</v>
      </c>
      <c r="AL893" s="17" t="s">
        <v>10770</v>
      </c>
      <c r="AM893" s="17" t="s">
        <v>825</v>
      </c>
      <c r="AN893" s="17" t="s">
        <v>86</v>
      </c>
      <c r="AO893" s="17" t="s">
        <v>10771</v>
      </c>
      <c r="AP893" s="17" t="s">
        <v>6135</v>
      </c>
      <c r="AQ893" s="17" t="s">
        <v>10772</v>
      </c>
      <c r="AR893" s="17" t="s">
        <v>10773</v>
      </c>
      <c r="AS893" s="17" t="s">
        <v>10774</v>
      </c>
      <c r="AT893" s="17">
        <v>175</v>
      </c>
      <c r="AU893" s="30" t="s">
        <v>10775</v>
      </c>
      <c r="AV893" s="14">
        <v>13713</v>
      </c>
      <c r="AW893" s="74"/>
      <c r="AX893" s="1"/>
      <c r="AY893" s="17" t="s">
        <v>101</v>
      </c>
    </row>
    <row r="894" spans="1:51" ht="12.75" customHeight="1" x14ac:dyDescent="0.25">
      <c r="A894" s="5">
        <v>859</v>
      </c>
      <c r="B894" s="9">
        <v>859</v>
      </c>
      <c r="C894" s="9" t="s">
        <v>10776</v>
      </c>
      <c r="D894" s="57" t="str">
        <f>HYPERLINK("http://prodenv.dep.state.fl.us/DepNexus/public/electronic-documents/OG_859/facility!search","OG_859_Docs")</f>
        <v>OG_859_Docs</v>
      </c>
      <c r="E894" s="57" t="str">
        <f>HYPERLINK("https://ca.dep.state.fl.us/mapdirect/?focus=oilandgas&amp;zoom=query&amp;querytype=oilandgas&amp;queryvalues=OG_859","OG_859_Map")</f>
        <v>OG_859_Map</v>
      </c>
      <c r="F894" s="1" t="s">
        <v>2026</v>
      </c>
      <c r="G894" s="1" t="s">
        <v>9085</v>
      </c>
      <c r="H894" s="1" t="s">
        <v>8261</v>
      </c>
      <c r="I894" s="1" t="s">
        <v>10777</v>
      </c>
      <c r="J894" s="17" t="s">
        <v>82</v>
      </c>
      <c r="K894" s="17" t="s">
        <v>83</v>
      </c>
      <c r="L894" s="17"/>
      <c r="M894" s="17" t="s">
        <v>101</v>
      </c>
      <c r="N894" s="52" t="s">
        <v>4735</v>
      </c>
      <c r="O894" s="17" t="s">
        <v>86</v>
      </c>
      <c r="P894" s="17" t="s">
        <v>86</v>
      </c>
      <c r="Q894" s="81" t="s">
        <v>10778</v>
      </c>
      <c r="R894" s="11">
        <v>26.628799999999998</v>
      </c>
      <c r="S894" s="11">
        <v>-81.679446999999996</v>
      </c>
      <c r="T894" s="11" t="s">
        <v>10763</v>
      </c>
      <c r="U894" s="11" t="s">
        <v>10764</v>
      </c>
      <c r="V894" s="17" t="s">
        <v>10779</v>
      </c>
      <c r="W894" s="17" t="s">
        <v>10780</v>
      </c>
      <c r="X894" s="70">
        <v>42.6</v>
      </c>
      <c r="Y894" s="70">
        <v>19</v>
      </c>
      <c r="Z894" s="13">
        <v>28038</v>
      </c>
      <c r="AA894" s="13">
        <v>28289</v>
      </c>
      <c r="AB894" s="13"/>
      <c r="AC894" s="13">
        <v>28326</v>
      </c>
      <c r="AD894" s="86">
        <v>11455</v>
      </c>
      <c r="AE894" s="86">
        <v>11785</v>
      </c>
      <c r="AF894" s="70" t="s">
        <v>10386</v>
      </c>
      <c r="AG894" s="17" t="s">
        <v>10767</v>
      </c>
      <c r="AH894" s="17" t="s">
        <v>5056</v>
      </c>
      <c r="AI894" s="70" t="s">
        <v>94</v>
      </c>
      <c r="AJ894" s="17" t="s">
        <v>94</v>
      </c>
      <c r="AK894" s="17" t="s">
        <v>95</v>
      </c>
      <c r="AL894" s="17" t="s">
        <v>10781</v>
      </c>
      <c r="AM894" s="17" t="s">
        <v>95</v>
      </c>
      <c r="AN894" s="17" t="s">
        <v>94</v>
      </c>
      <c r="AO894" s="17" t="s">
        <v>98</v>
      </c>
      <c r="AP894" s="17" t="s">
        <v>98</v>
      </c>
      <c r="AQ894" s="17" t="s">
        <v>98</v>
      </c>
      <c r="AR894" s="17" t="s">
        <v>94</v>
      </c>
      <c r="AS894" s="17" t="s">
        <v>10782</v>
      </c>
      <c r="AT894" s="17">
        <v>105</v>
      </c>
      <c r="AU894" s="30" t="s">
        <v>10783</v>
      </c>
      <c r="AV894" s="14">
        <v>13711</v>
      </c>
      <c r="AW894" s="74"/>
      <c r="AX894" s="1" t="s">
        <v>10784</v>
      </c>
      <c r="AY894" s="17" t="s">
        <v>101</v>
      </c>
    </row>
    <row r="895" spans="1:51" ht="15" customHeight="1" x14ac:dyDescent="0.25">
      <c r="A895" s="5">
        <v>860</v>
      </c>
      <c r="B895" s="9">
        <v>860</v>
      </c>
      <c r="C895" s="9" t="s">
        <v>10785</v>
      </c>
      <c r="D895" s="57" t="str">
        <f>HYPERLINK("http://prodenv.dep.state.fl.us/DepNexus/public/electronic-documents/OG_860/facility!search","OG_860_Docs")</f>
        <v>OG_860_Docs</v>
      </c>
      <c r="E895" s="57" t="str">
        <f>HYPERLINK("https://ca.dep.state.fl.us/mapdirect/?focus=oilandgas&amp;zoom=query&amp;querytype=oilandgas&amp;queryvalues=OG_860","OG_860_Map")</f>
        <v>OG_860_Map</v>
      </c>
      <c r="F895" s="1" t="s">
        <v>1797</v>
      </c>
      <c r="G895" s="1" t="s">
        <v>79</v>
      </c>
      <c r="H895" s="1" t="s">
        <v>10732</v>
      </c>
      <c r="I895" s="1" t="s">
        <v>10786</v>
      </c>
      <c r="J895" s="17" t="s">
        <v>207</v>
      </c>
      <c r="K895" s="17" t="s">
        <v>208</v>
      </c>
      <c r="L895" s="17"/>
      <c r="M895" s="17" t="s">
        <v>207</v>
      </c>
      <c r="N895" s="52" t="s">
        <v>86</v>
      </c>
      <c r="O895" s="17" t="s">
        <v>86</v>
      </c>
      <c r="P895" s="17" t="s">
        <v>86</v>
      </c>
      <c r="Q895" s="81" t="s">
        <v>10787</v>
      </c>
      <c r="R895" s="11">
        <v>30.773479999999999</v>
      </c>
      <c r="S895" s="11">
        <v>-87.053894</v>
      </c>
      <c r="T895" s="11" t="s">
        <v>10788</v>
      </c>
      <c r="U895" s="11" t="s">
        <v>10789</v>
      </c>
      <c r="V895" s="17" t="s">
        <v>10790</v>
      </c>
      <c r="W895" s="17" t="s">
        <v>110</v>
      </c>
      <c r="X895" s="70"/>
      <c r="Y895" s="70"/>
      <c r="Z895" s="13">
        <v>28068</v>
      </c>
      <c r="AA895" s="13"/>
      <c r="AB895" s="13"/>
      <c r="AC895" s="13"/>
      <c r="AD895" s="86"/>
      <c r="AE895" s="70"/>
      <c r="AF895" s="70" t="s">
        <v>207</v>
      </c>
      <c r="AG895" s="14" t="s">
        <v>207</v>
      </c>
      <c r="AH895" s="14" t="s">
        <v>207</v>
      </c>
      <c r="AI895" s="70" t="s">
        <v>207</v>
      </c>
      <c r="AJ895" s="14" t="s">
        <v>207</v>
      </c>
      <c r="AK895" s="14" t="s">
        <v>207</v>
      </c>
      <c r="AL895" s="14" t="s">
        <v>207</v>
      </c>
      <c r="AM895" s="14" t="s">
        <v>207</v>
      </c>
      <c r="AN895" s="14" t="s">
        <v>207</v>
      </c>
      <c r="AO895" s="14" t="s">
        <v>207</v>
      </c>
      <c r="AP895" s="14" t="s">
        <v>207</v>
      </c>
      <c r="AQ895" s="14" t="s">
        <v>207</v>
      </c>
      <c r="AR895" s="14" t="s">
        <v>207</v>
      </c>
      <c r="AS895" s="14" t="s">
        <v>207</v>
      </c>
      <c r="AT895" s="17"/>
      <c r="AU895" s="30" t="s">
        <v>10791</v>
      </c>
      <c r="AV895" s="14" t="s">
        <v>207</v>
      </c>
      <c r="AW895" s="74"/>
      <c r="AX895" s="1"/>
      <c r="AY895" s="17" t="s">
        <v>101</v>
      </c>
    </row>
    <row r="896" spans="1:51" ht="12.75" customHeight="1" x14ac:dyDescent="0.25">
      <c r="A896" s="5">
        <v>861</v>
      </c>
      <c r="B896" s="9">
        <v>861</v>
      </c>
      <c r="C896" s="9" t="s">
        <v>10792</v>
      </c>
      <c r="D896" s="57" t="str">
        <f>HYPERLINK("http://prodenv.dep.state.fl.us/DepNexus/public/electronic-documents/OG_861/facility!search","OG_861_Docs")</f>
        <v>OG_861_Docs</v>
      </c>
      <c r="E896" s="57" t="str">
        <f>HYPERLINK("https://ca.dep.state.fl.us/mapdirect/?focus=oilandgas&amp;zoom=query&amp;querytype=oilandgas&amp;queryvalues=OG_861","OG_861_Map")</f>
        <v>OG_861_Map</v>
      </c>
      <c r="F896" s="1" t="s">
        <v>1797</v>
      </c>
      <c r="G896" s="1" t="s">
        <v>79</v>
      </c>
      <c r="H896" s="1" t="s">
        <v>10732</v>
      </c>
      <c r="I896" s="1" t="s">
        <v>10793</v>
      </c>
      <c r="J896" s="17" t="s">
        <v>207</v>
      </c>
      <c r="K896" s="17" t="s">
        <v>208</v>
      </c>
      <c r="L896" s="17"/>
      <c r="M896" s="17" t="s">
        <v>207</v>
      </c>
      <c r="N896" s="52" t="s">
        <v>86</v>
      </c>
      <c r="O896" s="17" t="s">
        <v>86</v>
      </c>
      <c r="P896" s="17" t="s">
        <v>86</v>
      </c>
      <c r="Q896" s="81" t="s">
        <v>10794</v>
      </c>
      <c r="R896" s="11">
        <v>30.781372000000001</v>
      </c>
      <c r="S896" s="11">
        <v>-87.061788000000007</v>
      </c>
      <c r="T896" s="11" t="s">
        <v>10795</v>
      </c>
      <c r="U896" s="11" t="s">
        <v>10796</v>
      </c>
      <c r="V896" s="17" t="s">
        <v>10797</v>
      </c>
      <c r="W896" s="17" t="s">
        <v>110</v>
      </c>
      <c r="X896" s="70"/>
      <c r="Y896" s="70"/>
      <c r="Z896" s="13">
        <v>28068</v>
      </c>
      <c r="AA896" s="13"/>
      <c r="AB896" s="13"/>
      <c r="AC896" s="13"/>
      <c r="AD896" s="86"/>
      <c r="AE896" s="70"/>
      <c r="AF896" s="70" t="s">
        <v>207</v>
      </c>
      <c r="AG896" s="14" t="s">
        <v>207</v>
      </c>
      <c r="AH896" s="14" t="s">
        <v>207</v>
      </c>
      <c r="AI896" s="70" t="s">
        <v>207</v>
      </c>
      <c r="AJ896" s="14" t="s">
        <v>207</v>
      </c>
      <c r="AK896" s="14" t="s">
        <v>207</v>
      </c>
      <c r="AL896" s="14" t="s">
        <v>207</v>
      </c>
      <c r="AM896" s="14" t="s">
        <v>207</v>
      </c>
      <c r="AN896" s="14" t="s">
        <v>207</v>
      </c>
      <c r="AO896" s="14" t="s">
        <v>207</v>
      </c>
      <c r="AP896" s="14" t="s">
        <v>207</v>
      </c>
      <c r="AQ896" s="14" t="s">
        <v>207</v>
      </c>
      <c r="AR896" s="14" t="s">
        <v>207</v>
      </c>
      <c r="AS896" s="14" t="s">
        <v>207</v>
      </c>
      <c r="AT896" s="17"/>
      <c r="AU896" s="30" t="s">
        <v>10798</v>
      </c>
      <c r="AV896" s="14" t="s">
        <v>207</v>
      </c>
      <c r="AW896" s="74"/>
      <c r="AX896" s="1"/>
      <c r="AY896" s="17" t="s">
        <v>101</v>
      </c>
    </row>
    <row r="897" spans="1:51" ht="12.75" customHeight="1" x14ac:dyDescent="0.25">
      <c r="A897" s="5">
        <v>862</v>
      </c>
      <c r="B897" s="9">
        <v>862</v>
      </c>
      <c r="C897" s="9" t="s">
        <v>10799</v>
      </c>
      <c r="D897" s="57" t="str">
        <f>HYPERLINK("http://prodenv.dep.state.fl.us/DepNexus/public/electronic-documents/OG_862/facility!search","OG_862_Docs")</f>
        <v>OG_862_Docs</v>
      </c>
      <c r="E897" s="57" t="str">
        <f>HYPERLINK("https://ca.dep.state.fl.us/mapdirect/?focus=oilandgas&amp;zoom=query&amp;querytype=oilandgas&amp;queryvalues=OG_862","OG_862_Map")</f>
        <v>OG_862_Map</v>
      </c>
      <c r="F897" s="1" t="s">
        <v>2697</v>
      </c>
      <c r="G897" s="1" t="s">
        <v>79</v>
      </c>
      <c r="H897" s="1" t="s">
        <v>8093</v>
      </c>
      <c r="I897" s="1" t="s">
        <v>10800</v>
      </c>
      <c r="J897" s="17" t="s">
        <v>82</v>
      </c>
      <c r="K897" s="17" t="s">
        <v>83</v>
      </c>
      <c r="L897" s="17"/>
      <c r="M897" s="17" t="s">
        <v>101</v>
      </c>
      <c r="N897" s="52" t="s">
        <v>7568</v>
      </c>
      <c r="O897" s="17" t="s">
        <v>86</v>
      </c>
      <c r="P897" s="17" t="s">
        <v>86</v>
      </c>
      <c r="Q897" s="81" t="s">
        <v>10801</v>
      </c>
      <c r="R897" s="11">
        <v>27.116641999999999</v>
      </c>
      <c r="S897" s="11">
        <v>-81.361473000000004</v>
      </c>
      <c r="T897" s="11" t="s">
        <v>10802</v>
      </c>
      <c r="U897" s="11" t="s">
        <v>10803</v>
      </c>
      <c r="V897" s="17" t="s">
        <v>10804</v>
      </c>
      <c r="W897" s="17" t="s">
        <v>110</v>
      </c>
      <c r="X897" s="70">
        <v>25</v>
      </c>
      <c r="Y897" s="70">
        <v>100</v>
      </c>
      <c r="Z897" s="13">
        <v>28080</v>
      </c>
      <c r="AA897" s="13">
        <v>28126</v>
      </c>
      <c r="AB897" s="13">
        <v>28170</v>
      </c>
      <c r="AC897" s="13">
        <v>28176</v>
      </c>
      <c r="AD897" s="86">
        <v>12625</v>
      </c>
      <c r="AE897" s="86">
        <v>12625</v>
      </c>
      <c r="AF897" s="70" t="s">
        <v>10805</v>
      </c>
      <c r="AG897" s="17" t="s">
        <v>10531</v>
      </c>
      <c r="AH897" s="17" t="s">
        <v>10806</v>
      </c>
      <c r="AI897" s="70" t="s">
        <v>94</v>
      </c>
      <c r="AJ897" s="17" t="s">
        <v>94</v>
      </c>
      <c r="AK897" s="17" t="s">
        <v>95</v>
      </c>
      <c r="AL897" s="17" t="s">
        <v>10807</v>
      </c>
      <c r="AM897" s="17" t="s">
        <v>95</v>
      </c>
      <c r="AN897" s="17" t="s">
        <v>86</v>
      </c>
      <c r="AO897" s="17" t="s">
        <v>98</v>
      </c>
      <c r="AP897" s="17" t="s">
        <v>98</v>
      </c>
      <c r="AQ897" s="17" t="s">
        <v>98</v>
      </c>
      <c r="AR897" s="17" t="s">
        <v>94</v>
      </c>
      <c r="AS897" s="17" t="s">
        <v>10808</v>
      </c>
      <c r="AT897" s="17">
        <v>162</v>
      </c>
      <c r="AU897" s="30" t="s">
        <v>10809</v>
      </c>
      <c r="AV897" s="14">
        <v>13502</v>
      </c>
      <c r="AW897" s="74"/>
      <c r="AX897" s="1"/>
      <c r="AY897" s="17" t="s">
        <v>101</v>
      </c>
    </row>
    <row r="898" spans="1:51" ht="12.75" customHeight="1" x14ac:dyDescent="0.25">
      <c r="A898" s="5">
        <v>863</v>
      </c>
      <c r="B898" s="9">
        <v>863</v>
      </c>
      <c r="C898" s="9" t="s">
        <v>10810</v>
      </c>
      <c r="D898" s="57" t="str">
        <f>HYPERLINK("http://prodenv.dep.state.fl.us/DepNexus/public/electronic-documents/OG_863/facility!search","OG_863_Docs")</f>
        <v>OG_863_Docs</v>
      </c>
      <c r="E898" s="57" t="str">
        <f>HYPERLINK("https://ca.dep.state.fl.us/mapdirect/?focus=oilandgas&amp;zoom=query&amp;querytype=oilandgas&amp;queryvalues=OG_863","OG_863_Map")</f>
        <v>OG_863_Map</v>
      </c>
      <c r="F898" s="1" t="s">
        <v>1797</v>
      </c>
      <c r="G898" s="1" t="s">
        <v>79</v>
      </c>
      <c r="H898" s="1" t="s">
        <v>10811</v>
      </c>
      <c r="I898" s="1" t="s">
        <v>10812</v>
      </c>
      <c r="J898" s="17" t="s">
        <v>82</v>
      </c>
      <c r="K898" s="17" t="s">
        <v>83</v>
      </c>
      <c r="L898" s="17"/>
      <c r="M898" s="17"/>
      <c r="N898" s="52" t="s">
        <v>5949</v>
      </c>
      <c r="O898" s="17" t="s">
        <v>86</v>
      </c>
      <c r="P898" s="17" t="s">
        <v>86</v>
      </c>
      <c r="Q898" s="81" t="s">
        <v>10813</v>
      </c>
      <c r="R898" s="11">
        <v>30.818394000000001</v>
      </c>
      <c r="S898" s="11">
        <v>-87.104945999999998</v>
      </c>
      <c r="T898" s="11" t="s">
        <v>10814</v>
      </c>
      <c r="U898" s="11" t="s">
        <v>10815</v>
      </c>
      <c r="V898" s="17" t="s">
        <v>10816</v>
      </c>
      <c r="W898" s="17" t="s">
        <v>110</v>
      </c>
      <c r="X898" s="70">
        <v>181</v>
      </c>
      <c r="Y898" s="70">
        <v>164</v>
      </c>
      <c r="Z898" s="13">
        <v>28080</v>
      </c>
      <c r="AA898" s="13">
        <v>28095</v>
      </c>
      <c r="AB898" s="13">
        <v>28142</v>
      </c>
      <c r="AC898" s="13">
        <v>28172</v>
      </c>
      <c r="AD898" s="86">
        <v>16680</v>
      </c>
      <c r="AE898" s="86">
        <v>16680</v>
      </c>
      <c r="AF898" s="70" t="s">
        <v>10817</v>
      </c>
      <c r="AG898" s="17" t="s">
        <v>10818</v>
      </c>
      <c r="AH898" s="17" t="s">
        <v>94</v>
      </c>
      <c r="AI898" s="70" t="s">
        <v>94</v>
      </c>
      <c r="AJ898" s="17" t="s">
        <v>94</v>
      </c>
      <c r="AK898" s="17" t="s">
        <v>95</v>
      </c>
      <c r="AL898" s="17" t="s">
        <v>10819</v>
      </c>
      <c r="AM898" s="17" t="s">
        <v>94</v>
      </c>
      <c r="AN898" s="17" t="s">
        <v>94</v>
      </c>
      <c r="AO898" s="17" t="s">
        <v>98</v>
      </c>
      <c r="AP898" s="17" t="s">
        <v>98</v>
      </c>
      <c r="AQ898" s="17" t="s">
        <v>98</v>
      </c>
      <c r="AR898" s="17" t="s">
        <v>94</v>
      </c>
      <c r="AS898" s="17" t="s">
        <v>10820</v>
      </c>
      <c r="AT898" s="17"/>
      <c r="AU898" s="30" t="s">
        <v>10821</v>
      </c>
      <c r="AV898" s="14">
        <v>13450</v>
      </c>
      <c r="AW898" s="74"/>
      <c r="AX898" s="1"/>
      <c r="AY898" s="17" t="s">
        <v>101</v>
      </c>
    </row>
    <row r="899" spans="1:51" ht="12.75" customHeight="1" x14ac:dyDescent="0.25">
      <c r="A899" s="5">
        <v>864</v>
      </c>
      <c r="B899" s="9">
        <v>864</v>
      </c>
      <c r="C899" s="9" t="s">
        <v>10822</v>
      </c>
      <c r="D899" s="57" t="str">
        <f>HYPERLINK("http://prodenv.dep.state.fl.us/DepNexus/public/electronic-documents/OG_864/facility!search","OG_864_Docs")</f>
        <v>OG_864_Docs</v>
      </c>
      <c r="E899" s="57" t="str">
        <f>HYPERLINK("https://ca.dep.state.fl.us/mapdirect/?focus=oilandgas&amp;zoom=query&amp;querytype=oilandgas&amp;queryvalues=OG_864","OG_864_Map")</f>
        <v>OG_864_Map</v>
      </c>
      <c r="F899" s="1" t="s">
        <v>1752</v>
      </c>
      <c r="G899" s="1" t="s">
        <v>79</v>
      </c>
      <c r="H899" s="1" t="s">
        <v>10823</v>
      </c>
      <c r="I899" s="1" t="s">
        <v>10824</v>
      </c>
      <c r="J899" s="17" t="s">
        <v>82</v>
      </c>
      <c r="K899" s="17" t="s">
        <v>83</v>
      </c>
      <c r="L899" s="17"/>
      <c r="M899" s="17" t="s">
        <v>101</v>
      </c>
      <c r="N899" s="52" t="s">
        <v>4735</v>
      </c>
      <c r="O899" s="17" t="s">
        <v>270</v>
      </c>
      <c r="P899" s="17" t="s">
        <v>86</v>
      </c>
      <c r="Q899" s="81" t="s">
        <v>10825</v>
      </c>
      <c r="R899" s="11">
        <v>26.372249</v>
      </c>
      <c r="S899" s="11">
        <v>-81.265426000000005</v>
      </c>
      <c r="T899" s="11" t="s">
        <v>10826</v>
      </c>
      <c r="U899" s="11" t="s">
        <v>10827</v>
      </c>
      <c r="V899" s="17" t="s">
        <v>10828</v>
      </c>
      <c r="W899" s="17" t="s">
        <v>110</v>
      </c>
      <c r="X899" s="70">
        <v>41.5</v>
      </c>
      <c r="Y899" s="70">
        <v>25</v>
      </c>
      <c r="Z899" s="13">
        <v>28080</v>
      </c>
      <c r="AA899" s="13">
        <v>28115</v>
      </c>
      <c r="AB899" s="13"/>
      <c r="AC899" s="13">
        <v>28152</v>
      </c>
      <c r="AD899" s="86">
        <v>11864</v>
      </c>
      <c r="AE899" s="86">
        <v>11864</v>
      </c>
      <c r="AF899" s="70" t="s">
        <v>10829</v>
      </c>
      <c r="AG899" s="17" t="s">
        <v>10830</v>
      </c>
      <c r="AH899" s="17" t="s">
        <v>10831</v>
      </c>
      <c r="AI899" s="70" t="s">
        <v>94</v>
      </c>
      <c r="AJ899" s="17" t="s">
        <v>94</v>
      </c>
      <c r="AK899" s="17" t="s">
        <v>95</v>
      </c>
      <c r="AL899" s="17" t="s">
        <v>10832</v>
      </c>
      <c r="AM899" s="17" t="s">
        <v>95</v>
      </c>
      <c r="AN899" s="17" t="s">
        <v>94</v>
      </c>
      <c r="AO899" s="17" t="s">
        <v>98</v>
      </c>
      <c r="AP899" s="17" t="s">
        <v>98</v>
      </c>
      <c r="AQ899" s="17" t="s">
        <v>98</v>
      </c>
      <c r="AR899" s="17" t="s">
        <v>94</v>
      </c>
      <c r="AS899" s="17" t="s">
        <v>10833</v>
      </c>
      <c r="AT899" s="17">
        <v>175</v>
      </c>
      <c r="AU899" s="30" t="s">
        <v>10834</v>
      </c>
      <c r="AV899" s="14">
        <v>13507</v>
      </c>
      <c r="AW899" s="74"/>
      <c r="AX899" s="1"/>
      <c r="AY899" s="17" t="s">
        <v>101</v>
      </c>
    </row>
    <row r="900" spans="1:51" ht="12.75" customHeight="1" x14ac:dyDescent="0.25">
      <c r="A900" s="5">
        <v>865</v>
      </c>
      <c r="B900" s="9">
        <v>865</v>
      </c>
      <c r="C900" s="9" t="s">
        <v>10835</v>
      </c>
      <c r="D900" s="57" t="str">
        <f>HYPERLINK("http://prodenv.dep.state.fl.us/DepNexus/public/electronic-documents/OG_865/facility!search","OG_865_Docs")</f>
        <v>OG_865_Docs</v>
      </c>
      <c r="E900" s="57" t="str">
        <f>HYPERLINK("https://ca.dep.state.fl.us/mapdirect/?focus=oilandgas&amp;zoom=query&amp;querytype=oilandgas&amp;queryvalues=OG_865","OG_865_Map")</f>
        <v>OG_865_Map</v>
      </c>
      <c r="F900" s="1" t="s">
        <v>265</v>
      </c>
      <c r="G900" s="1" t="s">
        <v>10836</v>
      </c>
      <c r="H900" s="1" t="s">
        <v>10837</v>
      </c>
      <c r="I900" s="1" t="s">
        <v>10838</v>
      </c>
      <c r="J900" s="17" t="s">
        <v>268</v>
      </c>
      <c r="K900" s="17" t="s">
        <v>412</v>
      </c>
      <c r="L900" s="17" t="s">
        <v>101</v>
      </c>
      <c r="M900" s="17" t="s">
        <v>101</v>
      </c>
      <c r="N900" s="52" t="s">
        <v>9659</v>
      </c>
      <c r="O900" s="17" t="s">
        <v>270</v>
      </c>
      <c r="P900" s="17" t="s">
        <v>3395</v>
      </c>
      <c r="Q900" s="81" t="s">
        <v>10839</v>
      </c>
      <c r="R900" s="11">
        <v>26.170995000000001</v>
      </c>
      <c r="S900" s="11">
        <v>-81.167675000000003</v>
      </c>
      <c r="T900" s="11" t="s">
        <v>10840</v>
      </c>
      <c r="U900" s="11" t="s">
        <v>10841</v>
      </c>
      <c r="V900" s="17" t="s">
        <v>941</v>
      </c>
      <c r="W900" s="17" t="s">
        <v>110</v>
      </c>
      <c r="X900" s="70">
        <v>29</v>
      </c>
      <c r="Y900" s="70">
        <v>14.6</v>
      </c>
      <c r="Z900" s="13">
        <v>28080</v>
      </c>
      <c r="AA900" s="13">
        <v>28267</v>
      </c>
      <c r="AB900" s="13"/>
      <c r="AC900" s="13">
        <v>28348</v>
      </c>
      <c r="AD900" s="86">
        <v>11823</v>
      </c>
      <c r="AE900" s="86">
        <v>11823</v>
      </c>
      <c r="AF900" s="70" t="s">
        <v>10281</v>
      </c>
      <c r="AG900" s="17" t="s">
        <v>10842</v>
      </c>
      <c r="AH900" s="17" t="s">
        <v>10843</v>
      </c>
      <c r="AI900" s="70" t="s">
        <v>10844</v>
      </c>
      <c r="AJ900" s="17" t="s">
        <v>94</v>
      </c>
      <c r="AK900" s="17" t="s">
        <v>94</v>
      </c>
      <c r="AL900" s="17" t="s">
        <v>10845</v>
      </c>
      <c r="AM900" s="17" t="s">
        <v>95</v>
      </c>
      <c r="AN900" s="17" t="s">
        <v>10846</v>
      </c>
      <c r="AO900" s="17" t="s">
        <v>10847</v>
      </c>
      <c r="AP900" s="17" t="s">
        <v>6135</v>
      </c>
      <c r="AQ900" s="17" t="s">
        <v>10848</v>
      </c>
      <c r="AR900" s="17" t="s">
        <v>10849</v>
      </c>
      <c r="AS900" s="17" t="s">
        <v>10850</v>
      </c>
      <c r="AT900" s="17">
        <v>200</v>
      </c>
      <c r="AU900" s="30" t="s">
        <v>10851</v>
      </c>
      <c r="AV900" s="14">
        <v>13706</v>
      </c>
      <c r="AW900" s="74"/>
      <c r="AX900" s="39" t="s">
        <v>10852</v>
      </c>
      <c r="AY900" s="17" t="s">
        <v>101</v>
      </c>
    </row>
    <row r="901" spans="1:51" ht="12.75" customHeight="1" x14ac:dyDescent="0.25">
      <c r="A901" s="5">
        <v>866</v>
      </c>
      <c r="B901" s="9">
        <v>866</v>
      </c>
      <c r="C901" s="9" t="s">
        <v>10853</v>
      </c>
      <c r="D901" s="57" t="str">
        <f>HYPERLINK("http://prodenv.dep.state.fl.us/DepNexus/public/electronic-documents/OG_866/facility!search","OG_866_Docs")</f>
        <v>OG_866_Docs</v>
      </c>
      <c r="E901" s="57" t="str">
        <f>HYPERLINK("https://ca.dep.state.fl.us/mapdirect/?focus=oilandgas&amp;zoom=query&amp;querytype=oilandgas&amp;queryvalues=OG_866","OG_866_Map")</f>
        <v>OG_866_Map</v>
      </c>
      <c r="F901" s="1" t="s">
        <v>265</v>
      </c>
      <c r="G901" s="1" t="s">
        <v>79</v>
      </c>
      <c r="H901" s="1" t="s">
        <v>10854</v>
      </c>
      <c r="I901" s="1" t="s">
        <v>10855</v>
      </c>
      <c r="J901" s="17" t="s">
        <v>207</v>
      </c>
      <c r="K901" s="17" t="s">
        <v>208</v>
      </c>
      <c r="L901" s="17"/>
      <c r="M901" s="17" t="s">
        <v>207</v>
      </c>
      <c r="N901" s="52" t="s">
        <v>207</v>
      </c>
      <c r="O901" s="17" t="s">
        <v>270</v>
      </c>
      <c r="P901" s="17" t="s">
        <v>3395</v>
      </c>
      <c r="Q901" s="81" t="s">
        <v>10856</v>
      </c>
      <c r="R901" s="11">
        <v>26.25056</v>
      </c>
      <c r="S901" s="11">
        <v>-81.216217</v>
      </c>
      <c r="T901" s="11" t="s">
        <v>10857</v>
      </c>
      <c r="U901" s="11" t="s">
        <v>10858</v>
      </c>
      <c r="V901" s="17" t="s">
        <v>5953</v>
      </c>
      <c r="W901" s="17" t="s">
        <v>110</v>
      </c>
      <c r="X901" s="70"/>
      <c r="Y901" s="70"/>
      <c r="Z901" s="13">
        <v>28080</v>
      </c>
      <c r="AA901" s="13"/>
      <c r="AB901" s="13"/>
      <c r="AC901" s="13"/>
      <c r="AD901" s="86"/>
      <c r="AE901" s="70"/>
      <c r="AF901" s="70" t="s">
        <v>207</v>
      </c>
      <c r="AG901" s="14" t="s">
        <v>207</v>
      </c>
      <c r="AH901" s="14" t="s">
        <v>207</v>
      </c>
      <c r="AI901" s="70" t="s">
        <v>207</v>
      </c>
      <c r="AJ901" s="14" t="s">
        <v>207</v>
      </c>
      <c r="AK901" s="14" t="s">
        <v>207</v>
      </c>
      <c r="AL901" s="14" t="s">
        <v>207</v>
      </c>
      <c r="AM901" s="14" t="s">
        <v>207</v>
      </c>
      <c r="AN901" s="14" t="s">
        <v>207</v>
      </c>
      <c r="AO901" s="14" t="s">
        <v>207</v>
      </c>
      <c r="AP901" s="14" t="s">
        <v>207</v>
      </c>
      <c r="AQ901" s="14" t="s">
        <v>207</v>
      </c>
      <c r="AR901" s="14" t="s">
        <v>207</v>
      </c>
      <c r="AS901" s="14" t="s">
        <v>207</v>
      </c>
      <c r="AT901" s="14" t="s">
        <v>207</v>
      </c>
      <c r="AU901" s="30" t="s">
        <v>10859</v>
      </c>
      <c r="AV901" s="14" t="s">
        <v>207</v>
      </c>
      <c r="AW901" s="74"/>
      <c r="AX901" s="1"/>
      <c r="AY901" s="17" t="s">
        <v>101</v>
      </c>
    </row>
    <row r="902" spans="1:51" ht="15" customHeight="1" x14ac:dyDescent="0.25">
      <c r="A902" s="5">
        <v>867</v>
      </c>
      <c r="B902" s="9">
        <v>867</v>
      </c>
      <c r="C902" s="9" t="s">
        <v>10860</v>
      </c>
      <c r="D902" s="57" t="str">
        <f>HYPERLINK("http://prodenv.dep.state.fl.us/DepNexus/public/electronic-documents/OG_867/facility!search","OG_867_Docs")</f>
        <v>OG_867_Docs</v>
      </c>
      <c r="E902" s="57" t="str">
        <f>HYPERLINK("https://ca.dep.state.fl.us/mapdirect/?focus=oilandgas&amp;zoom=query&amp;querytype=oilandgas&amp;queryvalues=OG_867","OG_867_Map")</f>
        <v>OG_867_Map</v>
      </c>
      <c r="F902" s="1" t="s">
        <v>265</v>
      </c>
      <c r="G902" s="1" t="s">
        <v>79</v>
      </c>
      <c r="H902" s="1" t="s">
        <v>10854</v>
      </c>
      <c r="I902" s="1" t="s">
        <v>10861</v>
      </c>
      <c r="J902" s="17" t="s">
        <v>207</v>
      </c>
      <c r="K902" s="17" t="s">
        <v>208</v>
      </c>
      <c r="L902" s="17"/>
      <c r="M902" s="17" t="s">
        <v>207</v>
      </c>
      <c r="N902" s="52" t="s">
        <v>207</v>
      </c>
      <c r="O902" s="17" t="s">
        <v>270</v>
      </c>
      <c r="P902" s="17" t="s">
        <v>3395</v>
      </c>
      <c r="Q902" s="81" t="s">
        <v>10862</v>
      </c>
      <c r="R902" s="11">
        <v>26.242944999999999</v>
      </c>
      <c r="S902" s="11">
        <v>-81.224337000000006</v>
      </c>
      <c r="T902" s="11" t="s">
        <v>10863</v>
      </c>
      <c r="U902" s="11" t="s">
        <v>10864</v>
      </c>
      <c r="V902" s="17" t="s">
        <v>6887</v>
      </c>
      <c r="W902" s="17" t="s">
        <v>110</v>
      </c>
      <c r="X902" s="70"/>
      <c r="Y902" s="70"/>
      <c r="Z902" s="13">
        <v>28080</v>
      </c>
      <c r="AA902" s="13"/>
      <c r="AB902" s="13"/>
      <c r="AC902" s="13"/>
      <c r="AD902" s="86"/>
      <c r="AE902" s="70"/>
      <c r="AF902" s="70" t="s">
        <v>207</v>
      </c>
      <c r="AG902" s="14" t="s">
        <v>207</v>
      </c>
      <c r="AH902" s="14" t="s">
        <v>207</v>
      </c>
      <c r="AI902" s="70" t="s">
        <v>207</v>
      </c>
      <c r="AJ902" s="14" t="s">
        <v>207</v>
      </c>
      <c r="AK902" s="14" t="s">
        <v>207</v>
      </c>
      <c r="AL902" s="14" t="s">
        <v>207</v>
      </c>
      <c r="AM902" s="14" t="s">
        <v>207</v>
      </c>
      <c r="AN902" s="14" t="s">
        <v>207</v>
      </c>
      <c r="AO902" s="14" t="s">
        <v>207</v>
      </c>
      <c r="AP902" s="14" t="s">
        <v>207</v>
      </c>
      <c r="AQ902" s="14" t="s">
        <v>207</v>
      </c>
      <c r="AR902" s="14" t="s">
        <v>207</v>
      </c>
      <c r="AS902" s="14" t="s">
        <v>207</v>
      </c>
      <c r="AT902" s="14" t="s">
        <v>207</v>
      </c>
      <c r="AU902" s="30" t="s">
        <v>10865</v>
      </c>
      <c r="AV902" s="14" t="s">
        <v>207</v>
      </c>
      <c r="AW902" s="74"/>
      <c r="AX902" s="1"/>
      <c r="AY902" s="17" t="s">
        <v>101</v>
      </c>
    </row>
    <row r="903" spans="1:51" ht="12.75" customHeight="1" x14ac:dyDescent="0.25">
      <c r="A903" s="5">
        <v>868</v>
      </c>
      <c r="B903" s="9">
        <v>868</v>
      </c>
      <c r="C903" s="9" t="s">
        <v>10866</v>
      </c>
      <c r="D903" s="57" t="str">
        <f>HYPERLINK("http://prodenv.dep.state.fl.us/DepNexus/public/electronic-documents/OG_868/facility!search","OG_868_Docs")</f>
        <v>OG_868_Docs</v>
      </c>
      <c r="E903" s="57" t="str">
        <f>HYPERLINK("https://ca.dep.state.fl.us/mapdirect/?focus=oilandgas&amp;zoom=query&amp;querytype=oilandgas&amp;queryvalues=OG_868","OG_868_Map")</f>
        <v>OG_868_Map</v>
      </c>
      <c r="F903" s="1" t="s">
        <v>265</v>
      </c>
      <c r="G903" s="1" t="s">
        <v>79</v>
      </c>
      <c r="H903" s="1" t="s">
        <v>6141</v>
      </c>
      <c r="I903" s="1" t="s">
        <v>10867</v>
      </c>
      <c r="J903" s="17" t="s">
        <v>82</v>
      </c>
      <c r="K903" s="17" t="s">
        <v>83</v>
      </c>
      <c r="L903" s="17"/>
      <c r="M903" s="17"/>
      <c r="N903" s="52" t="s">
        <v>6945</v>
      </c>
      <c r="O903" s="17" t="s">
        <v>270</v>
      </c>
      <c r="P903" s="17" t="s">
        <v>86</v>
      </c>
      <c r="Q903" s="81" t="s">
        <v>10868</v>
      </c>
      <c r="R903" s="11">
        <v>26.255732999999999</v>
      </c>
      <c r="S903" s="11">
        <v>-81.337744000000001</v>
      </c>
      <c r="T903" s="11" t="s">
        <v>10869</v>
      </c>
      <c r="U903" s="11" t="s">
        <v>10870</v>
      </c>
      <c r="V903" s="17" t="s">
        <v>6887</v>
      </c>
      <c r="W903" s="17" t="s">
        <v>110</v>
      </c>
      <c r="X903" s="70">
        <v>22</v>
      </c>
      <c r="Y903" s="70"/>
      <c r="Z903" s="13">
        <v>28080</v>
      </c>
      <c r="AA903" s="13">
        <v>28094</v>
      </c>
      <c r="AB903" s="13">
        <v>28122</v>
      </c>
      <c r="AC903" s="13">
        <v>28125</v>
      </c>
      <c r="AD903" s="86">
        <v>11668</v>
      </c>
      <c r="AE903" s="86">
        <v>11668</v>
      </c>
      <c r="AF903" s="70" t="s">
        <v>5206</v>
      </c>
      <c r="AG903" s="17" t="s">
        <v>10871</v>
      </c>
      <c r="AH903" s="17" t="s">
        <v>10872</v>
      </c>
      <c r="AI903" s="70" t="s">
        <v>94</v>
      </c>
      <c r="AJ903" s="17" t="s">
        <v>94</v>
      </c>
      <c r="AK903" s="17" t="s">
        <v>94</v>
      </c>
      <c r="AL903" s="17" t="s">
        <v>10873</v>
      </c>
      <c r="AM903" s="17" t="s">
        <v>95</v>
      </c>
      <c r="AN903" s="17" t="s">
        <v>94</v>
      </c>
      <c r="AO903" s="17" t="s">
        <v>98</v>
      </c>
      <c r="AP903" s="17" t="s">
        <v>98</v>
      </c>
      <c r="AQ903" s="17" t="s">
        <v>98</v>
      </c>
      <c r="AR903" s="17" t="s">
        <v>94</v>
      </c>
      <c r="AS903" s="17" t="s">
        <v>10874</v>
      </c>
      <c r="AT903" s="17"/>
      <c r="AU903" s="30" t="s">
        <v>10875</v>
      </c>
      <c r="AV903" s="14">
        <v>13488</v>
      </c>
      <c r="AW903" s="74"/>
      <c r="AX903" s="1"/>
      <c r="AY903" s="17" t="s">
        <v>101</v>
      </c>
    </row>
    <row r="904" spans="1:51" ht="12.75" customHeight="1" x14ac:dyDescent="0.25">
      <c r="A904" s="5">
        <v>869</v>
      </c>
      <c r="B904" s="9">
        <v>869</v>
      </c>
      <c r="C904" s="9" t="s">
        <v>10876</v>
      </c>
      <c r="D904" s="57" t="str">
        <f>HYPERLINK("http://prodenv.dep.state.fl.us/DepNexus/public/electronic-documents/OG_869/facility!search","OG_869_Docs")</f>
        <v>OG_869_Docs</v>
      </c>
      <c r="E904" s="57" t="str">
        <f>HYPERLINK("https://ca.dep.state.fl.us/mapdirect/?focus=oilandgas&amp;zoom=query&amp;querytype=oilandgas&amp;queryvalues=OG_869","OG_869_Map")</f>
        <v>OG_869_Map</v>
      </c>
      <c r="F904" s="1" t="s">
        <v>265</v>
      </c>
      <c r="G904" s="1" t="s">
        <v>79</v>
      </c>
      <c r="H904" s="1" t="s">
        <v>10854</v>
      </c>
      <c r="I904" s="1" t="s">
        <v>10877</v>
      </c>
      <c r="J904" s="17" t="s">
        <v>207</v>
      </c>
      <c r="K904" s="17" t="s">
        <v>208</v>
      </c>
      <c r="L904" s="17"/>
      <c r="M904" s="17" t="s">
        <v>207</v>
      </c>
      <c r="N904" s="52" t="s">
        <v>207</v>
      </c>
      <c r="O904" s="17" t="s">
        <v>270</v>
      </c>
      <c r="P904" s="17" t="s">
        <v>3395</v>
      </c>
      <c r="Q904" s="81" t="s">
        <v>10878</v>
      </c>
      <c r="R904" s="11">
        <v>26.243203999999999</v>
      </c>
      <c r="S904" s="11">
        <v>-81.215648999999999</v>
      </c>
      <c r="T904" s="11" t="s">
        <v>10879</v>
      </c>
      <c r="U904" s="11" t="s">
        <v>10880</v>
      </c>
      <c r="V904" s="17" t="s">
        <v>10881</v>
      </c>
      <c r="W904" s="17" t="s">
        <v>110</v>
      </c>
      <c r="X904" s="70"/>
      <c r="Y904" s="70"/>
      <c r="Z904" s="13">
        <v>28101</v>
      </c>
      <c r="AA904" s="13"/>
      <c r="AB904" s="13"/>
      <c r="AC904" s="13"/>
      <c r="AD904" s="86"/>
      <c r="AE904" s="70"/>
      <c r="AF904" s="70" t="s">
        <v>207</v>
      </c>
      <c r="AG904" s="14" t="s">
        <v>207</v>
      </c>
      <c r="AH904" s="14" t="s">
        <v>207</v>
      </c>
      <c r="AI904" s="70" t="s">
        <v>207</v>
      </c>
      <c r="AJ904" s="14" t="s">
        <v>207</v>
      </c>
      <c r="AK904" s="14" t="s">
        <v>207</v>
      </c>
      <c r="AL904" s="14" t="s">
        <v>207</v>
      </c>
      <c r="AM904" s="14" t="s">
        <v>207</v>
      </c>
      <c r="AN904" s="14" t="s">
        <v>207</v>
      </c>
      <c r="AO904" s="14" t="s">
        <v>207</v>
      </c>
      <c r="AP904" s="14" t="s">
        <v>207</v>
      </c>
      <c r="AQ904" s="14" t="s">
        <v>207</v>
      </c>
      <c r="AR904" s="14" t="s">
        <v>207</v>
      </c>
      <c r="AS904" s="14" t="s">
        <v>207</v>
      </c>
      <c r="AT904" s="14" t="s">
        <v>207</v>
      </c>
      <c r="AU904" s="30" t="s">
        <v>10882</v>
      </c>
      <c r="AV904" s="14" t="s">
        <v>207</v>
      </c>
      <c r="AW904" s="74"/>
      <c r="AX904" s="1"/>
      <c r="AY904" s="17" t="s">
        <v>101</v>
      </c>
    </row>
    <row r="905" spans="1:51" ht="12.75" customHeight="1" x14ac:dyDescent="0.25">
      <c r="A905" s="5">
        <v>870</v>
      </c>
      <c r="B905" s="9">
        <v>870</v>
      </c>
      <c r="C905" s="9" t="s">
        <v>10883</v>
      </c>
      <c r="D905" s="57" t="str">
        <f>HYPERLINK("http://prodenv.dep.state.fl.us/DepNexus/public/electronic-documents/OG_870/facility!search","OG_870_Docs")</f>
        <v>OG_870_Docs</v>
      </c>
      <c r="E905" s="57" t="str">
        <f>HYPERLINK("https://ca.dep.state.fl.us/mapdirect/?focus=oilandgas&amp;zoom=query&amp;querytype=oilandgas&amp;queryvalues=OG_870","OG_870_Map")</f>
        <v>OG_870_Map</v>
      </c>
      <c r="F905" s="1" t="s">
        <v>265</v>
      </c>
      <c r="G905" s="1" t="s">
        <v>79</v>
      </c>
      <c r="H905" s="1" t="s">
        <v>10854</v>
      </c>
      <c r="I905" s="1" t="s">
        <v>10884</v>
      </c>
      <c r="J905" s="17" t="s">
        <v>207</v>
      </c>
      <c r="K905" s="17" t="s">
        <v>208</v>
      </c>
      <c r="L905" s="17"/>
      <c r="M905" s="17" t="s">
        <v>207</v>
      </c>
      <c r="N905" s="52" t="s">
        <v>207</v>
      </c>
      <c r="O905" s="17" t="s">
        <v>270</v>
      </c>
      <c r="P905" s="17" t="s">
        <v>3395</v>
      </c>
      <c r="Q905" s="81" t="s">
        <v>10885</v>
      </c>
      <c r="R905" s="11">
        <v>26.236063000000001</v>
      </c>
      <c r="S905" s="11">
        <v>-81.225527999999997</v>
      </c>
      <c r="T905" s="11" t="s">
        <v>10886</v>
      </c>
      <c r="U905" s="11" t="s">
        <v>10887</v>
      </c>
      <c r="V905" s="17" t="s">
        <v>10888</v>
      </c>
      <c r="W905" s="17" t="s">
        <v>110</v>
      </c>
      <c r="X905" s="70"/>
      <c r="Y905" s="70"/>
      <c r="Z905" s="13">
        <v>28101</v>
      </c>
      <c r="AA905" s="13"/>
      <c r="AB905" s="13"/>
      <c r="AC905" s="13"/>
      <c r="AD905" s="86"/>
      <c r="AE905" s="70"/>
      <c r="AF905" s="70" t="s">
        <v>207</v>
      </c>
      <c r="AG905" s="14" t="s">
        <v>207</v>
      </c>
      <c r="AH905" s="14" t="s">
        <v>207</v>
      </c>
      <c r="AI905" s="70" t="s">
        <v>207</v>
      </c>
      <c r="AJ905" s="14" t="s">
        <v>207</v>
      </c>
      <c r="AK905" s="14" t="s">
        <v>207</v>
      </c>
      <c r="AL905" s="14" t="s">
        <v>207</v>
      </c>
      <c r="AM905" s="14" t="s">
        <v>207</v>
      </c>
      <c r="AN905" s="14" t="s">
        <v>207</v>
      </c>
      <c r="AO905" s="14" t="s">
        <v>207</v>
      </c>
      <c r="AP905" s="14" t="s">
        <v>207</v>
      </c>
      <c r="AQ905" s="14" t="s">
        <v>207</v>
      </c>
      <c r="AR905" s="14" t="s">
        <v>207</v>
      </c>
      <c r="AS905" s="14" t="s">
        <v>207</v>
      </c>
      <c r="AT905" s="14" t="s">
        <v>207</v>
      </c>
      <c r="AU905" s="30" t="s">
        <v>10889</v>
      </c>
      <c r="AV905" s="14" t="s">
        <v>207</v>
      </c>
      <c r="AW905" s="74"/>
      <c r="AX905" s="1"/>
      <c r="AY905" s="17" t="s">
        <v>101</v>
      </c>
    </row>
    <row r="906" spans="1:51" ht="12.75" customHeight="1" x14ac:dyDescent="0.25">
      <c r="A906" s="5">
        <v>871</v>
      </c>
      <c r="B906" s="9">
        <v>871</v>
      </c>
      <c r="C906" s="9" t="s">
        <v>10890</v>
      </c>
      <c r="D906" s="57" t="str">
        <f>HYPERLINK("http://prodenv.dep.state.fl.us/DepNexus/public/electronic-documents/OG_871/facility!search","OG_871_Docs")</f>
        <v>OG_871_Docs</v>
      </c>
      <c r="E906" s="57" t="str">
        <f>HYPERLINK("https://ca.dep.state.fl.us/mapdirect/?focus=oilandgas&amp;zoom=query&amp;querytype=oilandgas&amp;queryvalues=OG_871","OG_871_Map")</f>
        <v>OG_871_Map</v>
      </c>
      <c r="F906" s="1" t="s">
        <v>265</v>
      </c>
      <c r="G906" s="1" t="s">
        <v>79</v>
      </c>
      <c r="H906" s="1" t="s">
        <v>8261</v>
      </c>
      <c r="I906" s="1" t="s">
        <v>10891</v>
      </c>
      <c r="J906" s="17" t="s">
        <v>82</v>
      </c>
      <c r="K906" s="17" t="s">
        <v>83</v>
      </c>
      <c r="L906" s="17"/>
      <c r="M906" s="17" t="s">
        <v>101</v>
      </c>
      <c r="N906" s="52" t="s">
        <v>6529</v>
      </c>
      <c r="O906" s="17" t="s">
        <v>270</v>
      </c>
      <c r="P906" s="17" t="s">
        <v>3395</v>
      </c>
      <c r="Q906" s="81" t="s">
        <v>10892</v>
      </c>
      <c r="R906" s="11">
        <v>26.146053999999999</v>
      </c>
      <c r="S906" s="11">
        <v>-81.222616000000002</v>
      </c>
      <c r="T906" s="11" t="s">
        <v>10893</v>
      </c>
      <c r="U906" s="11" t="s">
        <v>10894</v>
      </c>
      <c r="V906" s="17" t="s">
        <v>10895</v>
      </c>
      <c r="W906" s="17" t="s">
        <v>110</v>
      </c>
      <c r="X906" s="70">
        <v>38.1</v>
      </c>
      <c r="Y906" s="70">
        <v>14.2</v>
      </c>
      <c r="Z906" s="13">
        <v>28101</v>
      </c>
      <c r="AA906" s="13">
        <v>28246</v>
      </c>
      <c r="AB906" s="13"/>
      <c r="AC906" s="13">
        <v>28284</v>
      </c>
      <c r="AD906" s="86">
        <v>11920</v>
      </c>
      <c r="AE906" s="86">
        <v>11920</v>
      </c>
      <c r="AF906" s="70" t="s">
        <v>10896</v>
      </c>
      <c r="AG906" s="17" t="s">
        <v>10897</v>
      </c>
      <c r="AH906" s="17" t="s">
        <v>10898</v>
      </c>
      <c r="AI906" s="70" t="s">
        <v>94</v>
      </c>
      <c r="AJ906" s="17" t="s">
        <v>94</v>
      </c>
      <c r="AK906" s="17" t="s">
        <v>95</v>
      </c>
      <c r="AL906" s="17" t="s">
        <v>10899</v>
      </c>
      <c r="AM906" s="17" t="s">
        <v>94</v>
      </c>
      <c r="AN906" s="17" t="s">
        <v>94</v>
      </c>
      <c r="AO906" s="17" t="s">
        <v>98</v>
      </c>
      <c r="AP906" s="17" t="s">
        <v>98</v>
      </c>
      <c r="AQ906" s="17" t="s">
        <v>98</v>
      </c>
      <c r="AR906" s="17" t="s">
        <v>94</v>
      </c>
      <c r="AS906" s="17" t="s">
        <v>10900</v>
      </c>
      <c r="AT906" s="17">
        <v>166</v>
      </c>
      <c r="AU906" s="30" t="s">
        <v>10901</v>
      </c>
      <c r="AV906" s="14">
        <v>13705</v>
      </c>
      <c r="AW906" s="74"/>
      <c r="AX906" s="1"/>
      <c r="AY906" s="17" t="s">
        <v>101</v>
      </c>
    </row>
    <row r="907" spans="1:51" ht="12.75" customHeight="1" x14ac:dyDescent="0.25">
      <c r="A907" s="5">
        <v>872</v>
      </c>
      <c r="B907" s="9">
        <v>872</v>
      </c>
      <c r="C907" s="9" t="s">
        <v>10902</v>
      </c>
      <c r="D907" s="57" t="str">
        <f>HYPERLINK("http://prodenv.dep.state.fl.us/DepNexus/public/electronic-documents/OG_872/facility!search","OG_872_Docs")</f>
        <v>OG_872_Docs</v>
      </c>
      <c r="E907" s="57" t="str">
        <f>HYPERLINK("https://ca.dep.state.fl.us/mapdirect/?focus=oilandgas&amp;zoom=query&amp;querytype=oilandgas&amp;queryvalues=OG_872","OG_872_Map")</f>
        <v>OG_872_Map</v>
      </c>
      <c r="F907" s="1" t="s">
        <v>265</v>
      </c>
      <c r="G907" s="1" t="s">
        <v>79</v>
      </c>
      <c r="H907" s="1" t="s">
        <v>8261</v>
      </c>
      <c r="I907" s="1" t="s">
        <v>10903</v>
      </c>
      <c r="J907" s="17" t="s">
        <v>207</v>
      </c>
      <c r="K907" s="17" t="s">
        <v>208</v>
      </c>
      <c r="L907" s="17"/>
      <c r="M907" s="17" t="s">
        <v>207</v>
      </c>
      <c r="N907" s="52" t="s">
        <v>207</v>
      </c>
      <c r="O907" s="17" t="s">
        <v>270</v>
      </c>
      <c r="P907" s="17" t="s">
        <v>3395</v>
      </c>
      <c r="Q907" s="81" t="s">
        <v>10904</v>
      </c>
      <c r="R907" s="11">
        <v>26.163795</v>
      </c>
      <c r="S907" s="11">
        <v>-81.167150000000007</v>
      </c>
      <c r="T907" s="11" t="s">
        <v>10905</v>
      </c>
      <c r="U907" s="11" t="s">
        <v>10906</v>
      </c>
      <c r="V907" s="17" t="s">
        <v>10907</v>
      </c>
      <c r="W907" s="17" t="s">
        <v>110</v>
      </c>
      <c r="X907" s="70"/>
      <c r="Y907" s="70"/>
      <c r="Z907" s="13">
        <v>28101</v>
      </c>
      <c r="AA907" s="13"/>
      <c r="AB907" s="13"/>
      <c r="AC907" s="13"/>
      <c r="AD907" s="86"/>
      <c r="AE907" s="70"/>
      <c r="AF907" s="70" t="s">
        <v>207</v>
      </c>
      <c r="AG907" s="14" t="s">
        <v>207</v>
      </c>
      <c r="AH907" s="14" t="s">
        <v>207</v>
      </c>
      <c r="AI907" s="70" t="s">
        <v>207</v>
      </c>
      <c r="AJ907" s="14" t="s">
        <v>207</v>
      </c>
      <c r="AK907" s="14" t="s">
        <v>207</v>
      </c>
      <c r="AL907" s="14" t="s">
        <v>207</v>
      </c>
      <c r="AM907" s="14" t="s">
        <v>207</v>
      </c>
      <c r="AN907" s="14" t="s">
        <v>207</v>
      </c>
      <c r="AO907" s="14" t="s">
        <v>207</v>
      </c>
      <c r="AP907" s="14" t="s">
        <v>207</v>
      </c>
      <c r="AQ907" s="14" t="s">
        <v>207</v>
      </c>
      <c r="AR907" s="14" t="s">
        <v>207</v>
      </c>
      <c r="AS907" s="14" t="s">
        <v>207</v>
      </c>
      <c r="AT907" s="14" t="s">
        <v>207</v>
      </c>
      <c r="AU907" s="30" t="s">
        <v>10908</v>
      </c>
      <c r="AV907" s="14" t="s">
        <v>207</v>
      </c>
      <c r="AW907" s="74"/>
      <c r="AX907" s="1" t="s">
        <v>10909</v>
      </c>
      <c r="AY907" s="17" t="s">
        <v>101</v>
      </c>
    </row>
    <row r="908" spans="1:51" ht="12.75" customHeight="1" x14ac:dyDescent="0.25">
      <c r="A908" s="5">
        <v>873</v>
      </c>
      <c r="B908" s="9">
        <v>873</v>
      </c>
      <c r="C908" s="9" t="s">
        <v>10910</v>
      </c>
      <c r="D908" s="57" t="str">
        <f>HYPERLINK("http://prodenv.dep.state.fl.us/DepNexus/public/electronic-documents/OG_873/facility!search","OG_873_Docs")</f>
        <v>OG_873_Docs</v>
      </c>
      <c r="E908" s="57" t="str">
        <f>HYPERLINK("https://ca.dep.state.fl.us/mapdirect/?focus=oilandgas&amp;zoom=query&amp;querytype=oilandgas&amp;queryvalues=OG_873","OG_873_Map")</f>
        <v>OG_873_Map</v>
      </c>
      <c r="F908" s="1" t="s">
        <v>265</v>
      </c>
      <c r="G908" s="1" t="s">
        <v>79</v>
      </c>
      <c r="H908" s="1" t="s">
        <v>8261</v>
      </c>
      <c r="I908" s="1" t="s">
        <v>10911</v>
      </c>
      <c r="J908" s="17" t="s">
        <v>82</v>
      </c>
      <c r="K908" s="17" t="s">
        <v>83</v>
      </c>
      <c r="L908" s="17"/>
      <c r="M908" s="17"/>
      <c r="N908" s="52" t="s">
        <v>7568</v>
      </c>
      <c r="O908" s="17" t="s">
        <v>270</v>
      </c>
      <c r="P908" s="17" t="s">
        <v>3395</v>
      </c>
      <c r="Q908" s="81" t="s">
        <v>10912</v>
      </c>
      <c r="R908" s="11">
        <v>25.941099000000001</v>
      </c>
      <c r="S908" s="11">
        <v>-80.943680000000001</v>
      </c>
      <c r="T908" s="11" t="s">
        <v>10913</v>
      </c>
      <c r="U908" s="11" t="s">
        <v>10914</v>
      </c>
      <c r="V908" s="17" t="s">
        <v>10915</v>
      </c>
      <c r="W908" s="17" t="s">
        <v>110</v>
      </c>
      <c r="X908" s="70">
        <v>36.5</v>
      </c>
      <c r="Y908" s="70">
        <v>10.6</v>
      </c>
      <c r="Z908" s="13">
        <v>28101</v>
      </c>
      <c r="AA908" s="13">
        <v>28529</v>
      </c>
      <c r="AB908" s="13">
        <v>28567</v>
      </c>
      <c r="AC908" s="13">
        <v>28571</v>
      </c>
      <c r="AD908" s="86">
        <v>11705</v>
      </c>
      <c r="AE908" s="86">
        <v>11705</v>
      </c>
      <c r="AF908" s="70" t="s">
        <v>10916</v>
      </c>
      <c r="AG908" s="17" t="s">
        <v>10917</v>
      </c>
      <c r="AH908" s="17" t="s">
        <v>10918</v>
      </c>
      <c r="AI908" s="70" t="s">
        <v>94</v>
      </c>
      <c r="AJ908" s="17" t="s">
        <v>94</v>
      </c>
      <c r="AK908" s="17" t="s">
        <v>94</v>
      </c>
      <c r="AL908" s="17" t="s">
        <v>94</v>
      </c>
      <c r="AM908" s="17" t="s">
        <v>94</v>
      </c>
      <c r="AN908" s="17" t="s">
        <v>94</v>
      </c>
      <c r="AO908" s="17" t="s">
        <v>98</v>
      </c>
      <c r="AP908" s="17" t="s">
        <v>98</v>
      </c>
      <c r="AQ908" s="17" t="s">
        <v>98</v>
      </c>
      <c r="AR908" s="17" t="s">
        <v>94</v>
      </c>
      <c r="AS908" s="17" t="s">
        <v>10919</v>
      </c>
      <c r="AT908" s="17">
        <v>153</v>
      </c>
      <c r="AU908" s="30" t="s">
        <v>10920</v>
      </c>
      <c r="AV908" s="14">
        <v>13925</v>
      </c>
      <c r="AW908" s="74"/>
      <c r="AX908" s="1"/>
      <c r="AY908" s="17" t="s">
        <v>101</v>
      </c>
    </row>
    <row r="909" spans="1:51" ht="12.75" customHeight="1" x14ac:dyDescent="0.25">
      <c r="A909" s="5">
        <v>874</v>
      </c>
      <c r="B909" s="9">
        <v>874</v>
      </c>
      <c r="C909" s="9" t="s">
        <v>10921</v>
      </c>
      <c r="D909" s="57" t="str">
        <f>HYPERLINK("http://prodenv.dep.state.fl.us/DepNexus/public/electronic-documents/OG_874/facility!search","OG_874_Docs")</f>
        <v>OG_874_Docs</v>
      </c>
      <c r="E909" s="57" t="str">
        <f>HYPERLINK("https://ca.dep.state.fl.us/mapdirect/?focus=oilandgas&amp;zoom=query&amp;querytype=oilandgas&amp;queryvalues=OG_874","OG_874_Map")</f>
        <v>OG_874_Map</v>
      </c>
      <c r="F909" s="1" t="s">
        <v>314</v>
      </c>
      <c r="G909" s="1" t="s">
        <v>79</v>
      </c>
      <c r="H909" s="1" t="s">
        <v>10922</v>
      </c>
      <c r="I909" s="1" t="s">
        <v>10923</v>
      </c>
      <c r="J909" s="17" t="s">
        <v>82</v>
      </c>
      <c r="K909" s="17" t="s">
        <v>83</v>
      </c>
      <c r="L909" s="17"/>
      <c r="M909" s="17" t="s">
        <v>101</v>
      </c>
      <c r="N909" s="52" t="s">
        <v>86</v>
      </c>
      <c r="O909" s="17" t="s">
        <v>86</v>
      </c>
      <c r="P909" s="17" t="s">
        <v>86</v>
      </c>
      <c r="Q909" s="81" t="s">
        <v>10924</v>
      </c>
      <c r="R909" s="11">
        <v>30.477360000000001</v>
      </c>
      <c r="S909" s="11">
        <v>-86.060411000000002</v>
      </c>
      <c r="T909" s="11" t="s">
        <v>10925</v>
      </c>
      <c r="U909" s="11" t="s">
        <v>10926</v>
      </c>
      <c r="V909" s="17" t="s">
        <v>10927</v>
      </c>
      <c r="W909" s="17" t="s">
        <v>110</v>
      </c>
      <c r="X909" s="70">
        <v>55</v>
      </c>
      <c r="Y909" s="70">
        <v>42</v>
      </c>
      <c r="Z909" s="13">
        <v>28101</v>
      </c>
      <c r="AA909" s="13">
        <v>28193</v>
      </c>
      <c r="AB909" s="13">
        <v>28207</v>
      </c>
      <c r="AC909" s="13">
        <v>28209</v>
      </c>
      <c r="AD909" s="86">
        <v>5102</v>
      </c>
      <c r="AE909" s="86">
        <v>5102</v>
      </c>
      <c r="AF909" s="70" t="s">
        <v>10928</v>
      </c>
      <c r="AG909" s="17" t="s">
        <v>10929</v>
      </c>
      <c r="AH909" s="17" t="s">
        <v>94</v>
      </c>
      <c r="AI909" s="70" t="s">
        <v>94</v>
      </c>
      <c r="AJ909" s="17" t="s">
        <v>94</v>
      </c>
      <c r="AK909" s="17" t="s">
        <v>95</v>
      </c>
      <c r="AL909" s="17" t="s">
        <v>94</v>
      </c>
      <c r="AM909" s="17" t="s">
        <v>94</v>
      </c>
      <c r="AN909" s="17" t="s">
        <v>94</v>
      </c>
      <c r="AO909" s="17" t="s">
        <v>98</v>
      </c>
      <c r="AP909" s="17" t="s">
        <v>98</v>
      </c>
      <c r="AQ909" s="17" t="s">
        <v>98</v>
      </c>
      <c r="AR909" s="17" t="s">
        <v>94</v>
      </c>
      <c r="AS909" s="17" t="s">
        <v>10930</v>
      </c>
      <c r="AT909" s="17">
        <v>142</v>
      </c>
      <c r="AU909" s="30" t="s">
        <v>10931</v>
      </c>
      <c r="AV909" s="14">
        <v>13764</v>
      </c>
      <c r="AW909" s="74"/>
      <c r="AX909" s="1"/>
      <c r="AY909" s="17" t="s">
        <v>101</v>
      </c>
    </row>
    <row r="910" spans="1:51" ht="12.75" customHeight="1" x14ac:dyDescent="0.25">
      <c r="A910" s="5">
        <v>875</v>
      </c>
      <c r="B910" s="9">
        <v>875</v>
      </c>
      <c r="C910" s="9" t="s">
        <v>10932</v>
      </c>
      <c r="D910" s="57" t="str">
        <f>HYPERLINK("http://prodenv.dep.state.fl.us/DepNexus/public/electronic-documents/OG_875/facility!search","OG_875_Docs")</f>
        <v>OG_875_Docs</v>
      </c>
      <c r="E910" s="57" t="str">
        <f>HYPERLINK("https://ca.dep.state.fl.us/mapdirect/?focus=oilandgas&amp;zoom=query&amp;querytype=oilandgas&amp;queryvalues=OG_875","OG_875_Map")</f>
        <v>OG_875_Map</v>
      </c>
      <c r="F910" s="1" t="s">
        <v>2354</v>
      </c>
      <c r="G910" s="1" t="s">
        <v>79</v>
      </c>
      <c r="H910" s="1" t="s">
        <v>10933</v>
      </c>
      <c r="I910" s="1" t="s">
        <v>7818</v>
      </c>
      <c r="J910" s="17" t="s">
        <v>82</v>
      </c>
      <c r="K910" s="17" t="s">
        <v>83</v>
      </c>
      <c r="L910" s="17"/>
      <c r="M910" s="17" t="s">
        <v>101</v>
      </c>
      <c r="N910" s="52" t="s">
        <v>4802</v>
      </c>
      <c r="O910" s="17" t="s">
        <v>86</v>
      </c>
      <c r="P910" s="17" t="s">
        <v>86</v>
      </c>
      <c r="Q910" s="81" t="s">
        <v>10934</v>
      </c>
      <c r="R910" s="11">
        <v>28.228324000000001</v>
      </c>
      <c r="S910" s="11">
        <v>-82.572742000000005</v>
      </c>
      <c r="T910" s="11" t="s">
        <v>10935</v>
      </c>
      <c r="U910" s="11" t="s">
        <v>10936</v>
      </c>
      <c r="V910" s="17" t="s">
        <v>10937</v>
      </c>
      <c r="W910" s="17" t="s">
        <v>110</v>
      </c>
      <c r="X910" s="70">
        <v>60</v>
      </c>
      <c r="Y910" s="70">
        <v>43</v>
      </c>
      <c r="Z910" s="13">
        <v>28114</v>
      </c>
      <c r="AA910" s="13">
        <v>28504</v>
      </c>
      <c r="AB910" s="13">
        <v>28538</v>
      </c>
      <c r="AC910" s="13">
        <v>28538</v>
      </c>
      <c r="AD910" s="86">
        <v>9333</v>
      </c>
      <c r="AE910" s="86">
        <v>9333</v>
      </c>
      <c r="AF910" s="70" t="s">
        <v>10938</v>
      </c>
      <c r="AG910" s="17" t="s">
        <v>10939</v>
      </c>
      <c r="AH910" s="17" t="s">
        <v>10940</v>
      </c>
      <c r="AI910" s="70" t="s">
        <v>94</v>
      </c>
      <c r="AJ910" s="17" t="s">
        <v>94</v>
      </c>
      <c r="AK910" s="17" t="s">
        <v>95</v>
      </c>
      <c r="AL910" s="17" t="s">
        <v>86</v>
      </c>
      <c r="AM910" s="17" t="s">
        <v>94</v>
      </c>
      <c r="AN910" s="17" t="s">
        <v>10941</v>
      </c>
      <c r="AO910" s="17" t="s">
        <v>98</v>
      </c>
      <c r="AP910" s="17" t="s">
        <v>98</v>
      </c>
      <c r="AQ910" s="17" t="s">
        <v>98</v>
      </c>
      <c r="AR910" s="17" t="s">
        <v>94</v>
      </c>
      <c r="AS910" s="17" t="s">
        <v>10942</v>
      </c>
      <c r="AT910" s="17"/>
      <c r="AU910" s="30" t="s">
        <v>10943</v>
      </c>
      <c r="AV910" s="14">
        <v>13928</v>
      </c>
      <c r="AW910" s="74"/>
      <c r="AX910" s="1"/>
      <c r="AY910" s="17" t="s">
        <v>101</v>
      </c>
    </row>
    <row r="911" spans="1:51" ht="12.75" customHeight="1" x14ac:dyDescent="0.25">
      <c r="A911" s="5">
        <v>876</v>
      </c>
      <c r="B911" s="9">
        <v>876</v>
      </c>
      <c r="C911" s="9" t="s">
        <v>10944</v>
      </c>
      <c r="D911" s="57" t="str">
        <f>HYPERLINK("http://prodenv.dep.state.fl.us/DepNexus/public/electronic-documents/OG_876/facility!search","OG_876_Docs")</f>
        <v>OG_876_Docs</v>
      </c>
      <c r="E911" s="57" t="str">
        <f>HYPERLINK("https://ca.dep.state.fl.us/mapdirect/?focus=oilandgas&amp;zoom=query&amp;querytype=oilandgas&amp;queryvalues=OG_876","OG_876_Map")</f>
        <v>OG_876_Map</v>
      </c>
      <c r="F911" s="1" t="s">
        <v>265</v>
      </c>
      <c r="G911" s="1" t="s">
        <v>79</v>
      </c>
      <c r="H911" s="1" t="s">
        <v>4592</v>
      </c>
      <c r="I911" s="1" t="s">
        <v>10945</v>
      </c>
      <c r="J911" s="17" t="s">
        <v>82</v>
      </c>
      <c r="K911" s="17" t="s">
        <v>83</v>
      </c>
      <c r="L911" s="17"/>
      <c r="M911" s="17"/>
      <c r="N911" s="52" t="s">
        <v>5949</v>
      </c>
      <c r="O911" s="17" t="s">
        <v>86</v>
      </c>
      <c r="P911" s="17" t="s">
        <v>86</v>
      </c>
      <c r="Q911" s="81" t="s">
        <v>10946</v>
      </c>
      <c r="R911" s="11">
        <v>26.494050999999999</v>
      </c>
      <c r="S911" s="11">
        <v>-81.463282000000007</v>
      </c>
      <c r="T911" s="11" t="s">
        <v>10947</v>
      </c>
      <c r="U911" s="11" t="s">
        <v>10948</v>
      </c>
      <c r="V911" s="17" t="s">
        <v>10949</v>
      </c>
      <c r="W911" s="17" t="s">
        <v>110</v>
      </c>
      <c r="X911" s="70">
        <v>58.2</v>
      </c>
      <c r="Y911" s="70">
        <v>42</v>
      </c>
      <c r="Z911" s="13">
        <v>28115</v>
      </c>
      <c r="AA911" s="13">
        <v>28161</v>
      </c>
      <c r="AB911" s="13"/>
      <c r="AC911" s="13">
        <v>28195</v>
      </c>
      <c r="AD911" s="86">
        <v>11600</v>
      </c>
      <c r="AE911" s="86">
        <v>11600</v>
      </c>
      <c r="AF911" s="70" t="s">
        <v>3961</v>
      </c>
      <c r="AG911" s="17" t="s">
        <v>9958</v>
      </c>
      <c r="AH911" s="17" t="s">
        <v>9413</v>
      </c>
      <c r="AI911" s="70" t="s">
        <v>94</v>
      </c>
      <c r="AJ911" s="17" t="s">
        <v>94</v>
      </c>
      <c r="AK911" s="17" t="s">
        <v>95</v>
      </c>
      <c r="AL911" s="17" t="s">
        <v>10950</v>
      </c>
      <c r="AM911" s="17" t="s">
        <v>94</v>
      </c>
      <c r="AN911" s="17" t="s">
        <v>94</v>
      </c>
      <c r="AO911" s="17" t="s">
        <v>98</v>
      </c>
      <c r="AP911" s="17" t="s">
        <v>98</v>
      </c>
      <c r="AQ911" s="17" t="s">
        <v>98</v>
      </c>
      <c r="AR911" s="17" t="s">
        <v>94</v>
      </c>
      <c r="AS911" s="17" t="s">
        <v>10951</v>
      </c>
      <c r="AT911" s="17"/>
      <c r="AU911" s="30" t="s">
        <v>10952</v>
      </c>
      <c r="AV911" s="14">
        <v>13536</v>
      </c>
      <c r="AW911" s="74"/>
      <c r="AX911" s="1"/>
      <c r="AY911" s="17" t="s">
        <v>101</v>
      </c>
    </row>
    <row r="912" spans="1:51" ht="12.75" customHeight="1" x14ac:dyDescent="0.25">
      <c r="A912" s="5">
        <v>877</v>
      </c>
      <c r="B912" s="9">
        <v>877</v>
      </c>
      <c r="C912" s="9" t="s">
        <v>10953</v>
      </c>
      <c r="D912" s="57" t="str">
        <f>HYPERLINK("http://prodenv.dep.state.fl.us/DepNexus/public/electronic-documents/OG_877/facility!search","OG_877_Docs")</f>
        <v>OG_877_Docs</v>
      </c>
      <c r="E912" s="57" t="str">
        <f>HYPERLINK("https://ca.dep.state.fl.us/mapdirect/?focus=oilandgas&amp;zoom=query&amp;querytype=oilandgas&amp;queryvalues=OG_877","OG_877_Map")</f>
        <v>OG_877_Map</v>
      </c>
      <c r="F912" s="1" t="s">
        <v>1752</v>
      </c>
      <c r="G912" s="1" t="s">
        <v>79</v>
      </c>
      <c r="H912" s="1" t="s">
        <v>10837</v>
      </c>
      <c r="I912" s="1" t="s">
        <v>10954</v>
      </c>
      <c r="J912" s="17" t="s">
        <v>207</v>
      </c>
      <c r="K912" s="17" t="s">
        <v>208</v>
      </c>
      <c r="L912" s="17"/>
      <c r="M912" s="17" t="s">
        <v>207</v>
      </c>
      <c r="N912" s="52" t="s">
        <v>207</v>
      </c>
      <c r="O912" s="17" t="s">
        <v>270</v>
      </c>
      <c r="P912" s="17" t="s">
        <v>86</v>
      </c>
      <c r="Q912" s="81" t="s">
        <v>10955</v>
      </c>
      <c r="R912" s="11">
        <v>26.303280000000001</v>
      </c>
      <c r="S912" s="11">
        <v>-81.095371</v>
      </c>
      <c r="T912" s="11" t="s">
        <v>10956</v>
      </c>
      <c r="U912" s="11" t="s">
        <v>10957</v>
      </c>
      <c r="V912" s="17" t="s">
        <v>6887</v>
      </c>
      <c r="W912" s="17" t="s">
        <v>110</v>
      </c>
      <c r="X912" s="70"/>
      <c r="Y912" s="70"/>
      <c r="Z912" s="13">
        <v>28115</v>
      </c>
      <c r="AA912" s="13"/>
      <c r="AB912" s="13"/>
      <c r="AC912" s="13"/>
      <c r="AD912" s="86"/>
      <c r="AE912" s="70"/>
      <c r="AF912" s="70" t="s">
        <v>207</v>
      </c>
      <c r="AG912" s="14" t="s">
        <v>207</v>
      </c>
      <c r="AH912" s="14" t="s">
        <v>207</v>
      </c>
      <c r="AI912" s="70" t="s">
        <v>207</v>
      </c>
      <c r="AJ912" s="14" t="s">
        <v>207</v>
      </c>
      <c r="AK912" s="14" t="s">
        <v>207</v>
      </c>
      <c r="AL912" s="14" t="s">
        <v>207</v>
      </c>
      <c r="AM912" s="14" t="s">
        <v>207</v>
      </c>
      <c r="AN912" s="14" t="s">
        <v>207</v>
      </c>
      <c r="AO912" s="14" t="s">
        <v>207</v>
      </c>
      <c r="AP912" s="14" t="s">
        <v>207</v>
      </c>
      <c r="AQ912" s="14" t="s">
        <v>207</v>
      </c>
      <c r="AR912" s="14" t="s">
        <v>207</v>
      </c>
      <c r="AS912" s="14" t="s">
        <v>207</v>
      </c>
      <c r="AT912" s="14" t="s">
        <v>207</v>
      </c>
      <c r="AU912" s="30" t="s">
        <v>10958</v>
      </c>
      <c r="AV912" s="14" t="s">
        <v>207</v>
      </c>
      <c r="AW912" s="74"/>
      <c r="AX912" s="1"/>
      <c r="AY912" s="17" t="s">
        <v>101</v>
      </c>
    </row>
    <row r="913" spans="1:51" ht="12.75" customHeight="1" x14ac:dyDescent="0.25">
      <c r="A913" s="5">
        <v>878</v>
      </c>
      <c r="B913" s="9">
        <v>878</v>
      </c>
      <c r="C913" s="9" t="s">
        <v>10959</v>
      </c>
      <c r="D913" s="57" t="str">
        <f>HYPERLINK("http://prodenv.dep.state.fl.us/DepNexus/public/electronic-documents/OG_878/facility!search","OG_878_Docs")</f>
        <v>OG_878_Docs</v>
      </c>
      <c r="E913" s="57" t="str">
        <f>HYPERLINK("https://ca.dep.state.fl.us/mapdirect/?focus=oilandgas&amp;zoom=query&amp;querytype=oilandgas&amp;queryvalues=OG_878","OG_878_Map")</f>
        <v>OG_878_Map</v>
      </c>
      <c r="F913" s="1" t="s">
        <v>1752</v>
      </c>
      <c r="G913" s="1" t="s">
        <v>79</v>
      </c>
      <c r="H913" s="1" t="s">
        <v>10837</v>
      </c>
      <c r="I913" s="1" t="s">
        <v>10960</v>
      </c>
      <c r="J913" s="17" t="s">
        <v>207</v>
      </c>
      <c r="K913" s="17" t="s">
        <v>208</v>
      </c>
      <c r="L913" s="17"/>
      <c r="M913" s="17" t="s">
        <v>207</v>
      </c>
      <c r="N913" s="52" t="s">
        <v>207</v>
      </c>
      <c r="O913" s="17" t="s">
        <v>270</v>
      </c>
      <c r="P913" s="17" t="s">
        <v>5157</v>
      </c>
      <c r="Q913" s="81" t="s">
        <v>10961</v>
      </c>
      <c r="R913" s="11">
        <v>26.296036999999998</v>
      </c>
      <c r="S913" s="11">
        <v>-81.096249999999998</v>
      </c>
      <c r="T913" s="11" t="s">
        <v>10962</v>
      </c>
      <c r="U913" s="11" t="s">
        <v>10963</v>
      </c>
      <c r="V913" s="17" t="s">
        <v>10964</v>
      </c>
      <c r="W913" s="17" t="s">
        <v>110</v>
      </c>
      <c r="X913" s="70"/>
      <c r="Y913" s="70"/>
      <c r="Z913" s="13">
        <v>28115</v>
      </c>
      <c r="AA913" s="13"/>
      <c r="AB913" s="13"/>
      <c r="AC913" s="13"/>
      <c r="AD913" s="86"/>
      <c r="AE913" s="70"/>
      <c r="AF913" s="70" t="s">
        <v>207</v>
      </c>
      <c r="AG913" s="14" t="s">
        <v>207</v>
      </c>
      <c r="AH913" s="14" t="s">
        <v>207</v>
      </c>
      <c r="AI913" s="70" t="s">
        <v>207</v>
      </c>
      <c r="AJ913" s="14" t="s">
        <v>207</v>
      </c>
      <c r="AK913" s="14" t="s">
        <v>207</v>
      </c>
      <c r="AL913" s="14" t="s">
        <v>207</v>
      </c>
      <c r="AM913" s="14" t="s">
        <v>207</v>
      </c>
      <c r="AN913" s="14" t="s">
        <v>207</v>
      </c>
      <c r="AO913" s="14" t="s">
        <v>207</v>
      </c>
      <c r="AP913" s="14" t="s">
        <v>207</v>
      </c>
      <c r="AQ913" s="14" t="s">
        <v>207</v>
      </c>
      <c r="AR913" s="14" t="s">
        <v>207</v>
      </c>
      <c r="AS913" s="14" t="s">
        <v>207</v>
      </c>
      <c r="AT913" s="14" t="s">
        <v>207</v>
      </c>
      <c r="AU913" s="30" t="s">
        <v>10965</v>
      </c>
      <c r="AV913" s="14" t="s">
        <v>207</v>
      </c>
      <c r="AW913" s="74"/>
      <c r="AX913" s="1"/>
      <c r="AY913" s="17" t="s">
        <v>101</v>
      </c>
    </row>
    <row r="914" spans="1:51" ht="12.75" customHeight="1" x14ac:dyDescent="0.25">
      <c r="A914" s="5">
        <v>879</v>
      </c>
      <c r="B914" s="9">
        <v>879</v>
      </c>
      <c r="C914" s="9" t="s">
        <v>10966</v>
      </c>
      <c r="D914" s="57" t="str">
        <f>HYPERLINK("http://prodenv.dep.state.fl.us/DepNexus/public/electronic-documents/OG_879/facility!search","OG_879_Docs")</f>
        <v>OG_879_Docs</v>
      </c>
      <c r="E914" s="57" t="str">
        <f>HYPERLINK("https://ca.dep.state.fl.us/mapdirect/?focus=oilandgas&amp;zoom=query&amp;querytype=oilandgas&amp;queryvalues=OG_879","OG_879_Map")</f>
        <v>OG_879_Map</v>
      </c>
      <c r="F914" s="1" t="s">
        <v>1752</v>
      </c>
      <c r="G914" s="1" t="s">
        <v>79</v>
      </c>
      <c r="H914" s="1" t="s">
        <v>10837</v>
      </c>
      <c r="I914" s="1" t="s">
        <v>10967</v>
      </c>
      <c r="J914" s="17" t="s">
        <v>207</v>
      </c>
      <c r="K914" s="17" t="s">
        <v>208</v>
      </c>
      <c r="L914" s="17"/>
      <c r="M914" s="17" t="s">
        <v>207</v>
      </c>
      <c r="N914" s="52" t="s">
        <v>207</v>
      </c>
      <c r="O914" s="17" t="s">
        <v>270</v>
      </c>
      <c r="P914" s="17" t="s">
        <v>5157</v>
      </c>
      <c r="Q914" s="81" t="s">
        <v>10968</v>
      </c>
      <c r="R914" s="11">
        <v>26.296700000000001</v>
      </c>
      <c r="S914" s="11">
        <v>-81.087731000000005</v>
      </c>
      <c r="T914" s="11" t="s">
        <v>10969</v>
      </c>
      <c r="U914" s="11" t="s">
        <v>10970</v>
      </c>
      <c r="V914" s="17" t="s">
        <v>10971</v>
      </c>
      <c r="W914" s="17" t="s">
        <v>110</v>
      </c>
      <c r="X914" s="70"/>
      <c r="Y914" s="70"/>
      <c r="Z914" s="13">
        <v>28115</v>
      </c>
      <c r="AA914" s="13"/>
      <c r="AB914" s="13"/>
      <c r="AC914" s="13"/>
      <c r="AD914" s="86"/>
      <c r="AE914" s="70"/>
      <c r="AF914" s="70" t="s">
        <v>207</v>
      </c>
      <c r="AG914" s="14" t="s">
        <v>207</v>
      </c>
      <c r="AH914" s="14" t="s">
        <v>207</v>
      </c>
      <c r="AI914" s="70" t="s">
        <v>207</v>
      </c>
      <c r="AJ914" s="14" t="s">
        <v>207</v>
      </c>
      <c r="AK914" s="14" t="s">
        <v>207</v>
      </c>
      <c r="AL914" s="14" t="s">
        <v>207</v>
      </c>
      <c r="AM914" s="14" t="s">
        <v>207</v>
      </c>
      <c r="AN914" s="14" t="s">
        <v>207</v>
      </c>
      <c r="AO914" s="14" t="s">
        <v>207</v>
      </c>
      <c r="AP914" s="14" t="s">
        <v>207</v>
      </c>
      <c r="AQ914" s="14" t="s">
        <v>207</v>
      </c>
      <c r="AR914" s="14" t="s">
        <v>207</v>
      </c>
      <c r="AS914" s="14" t="s">
        <v>207</v>
      </c>
      <c r="AT914" s="14" t="s">
        <v>207</v>
      </c>
      <c r="AU914" s="30" t="s">
        <v>10972</v>
      </c>
      <c r="AV914" s="14" t="s">
        <v>207</v>
      </c>
      <c r="AW914" s="74"/>
      <c r="AX914" s="1"/>
      <c r="AY914" s="17" t="s">
        <v>101</v>
      </c>
    </row>
    <row r="915" spans="1:51" ht="12.75" customHeight="1" x14ac:dyDescent="0.25">
      <c r="A915" s="5">
        <v>880</v>
      </c>
      <c r="B915" s="9">
        <v>880</v>
      </c>
      <c r="C915" s="9" t="s">
        <v>10973</v>
      </c>
      <c r="D915" s="57" t="str">
        <f>HYPERLINK("http://prodenv.dep.state.fl.us/DepNexus/public/electronic-documents/OG_880/facility!search","OG_880_Docs")</f>
        <v>OG_880_Docs</v>
      </c>
      <c r="E915" s="57" t="str">
        <f>HYPERLINK("https://ca.dep.state.fl.us/mapdirect/?focus=oilandgas&amp;zoom=query&amp;querytype=oilandgas&amp;queryvalues=OG_880","OG_880_Map")</f>
        <v>OG_880_Map</v>
      </c>
      <c r="F915" s="1" t="s">
        <v>265</v>
      </c>
      <c r="G915" s="1" t="s">
        <v>79</v>
      </c>
      <c r="H915" s="1" t="s">
        <v>6141</v>
      </c>
      <c r="I915" s="1" t="s">
        <v>10974</v>
      </c>
      <c r="J915" s="17" t="s">
        <v>207</v>
      </c>
      <c r="K915" s="17" t="s">
        <v>208</v>
      </c>
      <c r="L915" s="17"/>
      <c r="M915" s="17" t="s">
        <v>207</v>
      </c>
      <c r="N915" s="52" t="s">
        <v>207</v>
      </c>
      <c r="O915" s="17" t="s">
        <v>270</v>
      </c>
      <c r="P915" s="17" t="s">
        <v>86</v>
      </c>
      <c r="Q915" s="81" t="s">
        <v>10975</v>
      </c>
      <c r="R915" s="11">
        <v>26.248275</v>
      </c>
      <c r="S915" s="11">
        <v>-81.336155000000005</v>
      </c>
      <c r="T915" s="11" t="s">
        <v>10976</v>
      </c>
      <c r="U915" s="11" t="s">
        <v>10977</v>
      </c>
      <c r="V915" s="17" t="s">
        <v>10978</v>
      </c>
      <c r="W915" s="17" t="s">
        <v>110</v>
      </c>
      <c r="X915" s="70"/>
      <c r="Y915" s="70"/>
      <c r="Z915" s="13">
        <v>28115</v>
      </c>
      <c r="AA915" s="13"/>
      <c r="AB915" s="13"/>
      <c r="AC915" s="13"/>
      <c r="AD915" s="86"/>
      <c r="AE915" s="70"/>
      <c r="AF915" s="70" t="s">
        <v>207</v>
      </c>
      <c r="AG915" s="14" t="s">
        <v>207</v>
      </c>
      <c r="AH915" s="14" t="s">
        <v>207</v>
      </c>
      <c r="AI915" s="70" t="s">
        <v>207</v>
      </c>
      <c r="AJ915" s="14" t="s">
        <v>207</v>
      </c>
      <c r="AK915" s="14" t="s">
        <v>207</v>
      </c>
      <c r="AL915" s="14" t="s">
        <v>207</v>
      </c>
      <c r="AM915" s="14" t="s">
        <v>207</v>
      </c>
      <c r="AN915" s="14" t="s">
        <v>207</v>
      </c>
      <c r="AO915" s="14" t="s">
        <v>207</v>
      </c>
      <c r="AP915" s="14" t="s">
        <v>207</v>
      </c>
      <c r="AQ915" s="14" t="s">
        <v>207</v>
      </c>
      <c r="AR915" s="14" t="s">
        <v>207</v>
      </c>
      <c r="AS915" s="14" t="s">
        <v>207</v>
      </c>
      <c r="AT915" s="14" t="s">
        <v>207</v>
      </c>
      <c r="AU915" s="30" t="s">
        <v>10979</v>
      </c>
      <c r="AV915" s="14" t="s">
        <v>207</v>
      </c>
      <c r="AW915" s="74"/>
      <c r="AX915" s="1"/>
      <c r="AY915" s="17" t="s">
        <v>101</v>
      </c>
    </row>
    <row r="916" spans="1:51" ht="12.75" customHeight="1" x14ac:dyDescent="0.25">
      <c r="A916" s="5">
        <v>881</v>
      </c>
      <c r="B916" s="9">
        <v>881</v>
      </c>
      <c r="C916" s="9" t="s">
        <v>10980</v>
      </c>
      <c r="D916" s="57" t="str">
        <f>HYPERLINK("http://prodenv.dep.state.fl.us/DepNexus/public/electronic-documents/OG_881/facility!search","OG_881_Docs")</f>
        <v>OG_881_Docs</v>
      </c>
      <c r="E916" s="57" t="str">
        <f>HYPERLINK("https://ca.dep.state.fl.us/mapdirect/?focus=oilandgas&amp;zoom=query&amp;querytype=oilandgas&amp;queryvalues=OG_881","OG_881_Map")</f>
        <v>OG_881_Map</v>
      </c>
      <c r="F916" s="1" t="s">
        <v>1797</v>
      </c>
      <c r="G916" s="1" t="s">
        <v>10981</v>
      </c>
      <c r="H916" s="1" t="s">
        <v>10982</v>
      </c>
      <c r="I916" s="1" t="s">
        <v>10983</v>
      </c>
      <c r="J916" s="17" t="s">
        <v>268</v>
      </c>
      <c r="K916" s="17" t="s">
        <v>412</v>
      </c>
      <c r="L916" s="17"/>
      <c r="M916" s="17" t="s">
        <v>101</v>
      </c>
      <c r="N916" s="52" t="s">
        <v>10984</v>
      </c>
      <c r="O916" s="17" t="s">
        <v>1962</v>
      </c>
      <c r="P916" s="17" t="s">
        <v>86</v>
      </c>
      <c r="Q916" s="81" t="s">
        <v>10985</v>
      </c>
      <c r="R916" s="11">
        <v>30.940670999999998</v>
      </c>
      <c r="S916" s="11">
        <v>-86.833538000000004</v>
      </c>
      <c r="T916" s="11" t="s">
        <v>10986</v>
      </c>
      <c r="U916" s="11" t="s">
        <v>10987</v>
      </c>
      <c r="V916" s="17" t="s">
        <v>10988</v>
      </c>
      <c r="W916" s="17" t="s">
        <v>110</v>
      </c>
      <c r="X916" s="70">
        <v>253.7</v>
      </c>
      <c r="Y916" s="70">
        <v>221.9</v>
      </c>
      <c r="Z916" s="13">
        <v>28131</v>
      </c>
      <c r="AA916" s="13">
        <v>28140</v>
      </c>
      <c r="AB916" s="13">
        <v>28236</v>
      </c>
      <c r="AC916" s="13">
        <v>29578</v>
      </c>
      <c r="AD916" s="86">
        <v>14611</v>
      </c>
      <c r="AE916" s="86">
        <v>14611</v>
      </c>
      <c r="AF916" s="70" t="s">
        <v>10817</v>
      </c>
      <c r="AG916" s="17" t="s">
        <v>10989</v>
      </c>
      <c r="AH916" s="17" t="s">
        <v>94</v>
      </c>
      <c r="AI916" s="70" t="s">
        <v>10990</v>
      </c>
      <c r="AJ916" s="17" t="s">
        <v>10991</v>
      </c>
      <c r="AK916" s="17" t="s">
        <v>95</v>
      </c>
      <c r="AL916" s="17" t="s">
        <v>10992</v>
      </c>
      <c r="AM916" s="17" t="s">
        <v>94</v>
      </c>
      <c r="AN916" s="17" t="s">
        <v>95</v>
      </c>
      <c r="AO916" s="17" t="s">
        <v>10993</v>
      </c>
      <c r="AP916" s="17" t="s">
        <v>10994</v>
      </c>
      <c r="AQ916" s="17" t="s">
        <v>10995</v>
      </c>
      <c r="AR916" s="17" t="s">
        <v>10996</v>
      </c>
      <c r="AS916" s="17" t="s">
        <v>10997</v>
      </c>
      <c r="AT916" s="17">
        <v>218</v>
      </c>
      <c r="AU916" s="30" t="s">
        <v>10998</v>
      </c>
      <c r="AV916" s="14">
        <v>13535</v>
      </c>
      <c r="AW916" s="74"/>
      <c r="AX916" s="39" t="s">
        <v>10999</v>
      </c>
      <c r="AY916" s="17" t="s">
        <v>101</v>
      </c>
    </row>
    <row r="917" spans="1:51" ht="12.75" customHeight="1" x14ac:dyDescent="0.25">
      <c r="A917" s="5">
        <v>882</v>
      </c>
      <c r="B917" s="9">
        <v>882</v>
      </c>
      <c r="C917" s="9" t="s">
        <v>11000</v>
      </c>
      <c r="D917" s="57" t="str">
        <f>HYPERLINK("http://prodenv.dep.state.fl.us/DepNexus/public/electronic-documents/OG_882/facility!search","OG_882_Docs")</f>
        <v>OG_882_Docs</v>
      </c>
      <c r="E917" s="57" t="str">
        <f>HYPERLINK("https://ca.dep.state.fl.us/mapdirect/?focus=oilandgas&amp;zoom=query&amp;querytype=oilandgas&amp;queryvalues=OG_882","OG_882_Map")</f>
        <v>OG_882_Map</v>
      </c>
      <c r="F917" s="1" t="s">
        <v>1797</v>
      </c>
      <c r="G917" s="1" t="s">
        <v>5133</v>
      </c>
      <c r="H917" s="1" t="s">
        <v>8261</v>
      </c>
      <c r="I917" s="1" t="s">
        <v>11001</v>
      </c>
      <c r="J917" s="17" t="s">
        <v>3646</v>
      </c>
      <c r="K917" s="17" t="s">
        <v>412</v>
      </c>
      <c r="L917" s="17"/>
      <c r="M917" s="17" t="s">
        <v>101</v>
      </c>
      <c r="N917" s="52" t="s">
        <v>11002</v>
      </c>
      <c r="O917" s="17" t="s">
        <v>86</v>
      </c>
      <c r="P917" s="17" t="s">
        <v>86</v>
      </c>
      <c r="Q917" s="81" t="s">
        <v>7741</v>
      </c>
      <c r="R917" s="11">
        <v>30.951891</v>
      </c>
      <c r="S917" s="11">
        <v>-87.141977999999995</v>
      </c>
      <c r="T917" s="11" t="s">
        <v>11003</v>
      </c>
      <c r="U917" s="11" t="s">
        <v>11004</v>
      </c>
      <c r="V917" s="17" t="s">
        <v>11005</v>
      </c>
      <c r="W917" s="17" t="s">
        <v>110</v>
      </c>
      <c r="X917" s="70">
        <v>272.3</v>
      </c>
      <c r="Y917" s="70">
        <v>247.7</v>
      </c>
      <c r="Z917" s="13">
        <v>28206</v>
      </c>
      <c r="AA917" s="13">
        <v>28323</v>
      </c>
      <c r="AB917" s="13"/>
      <c r="AC917" s="13">
        <v>28568</v>
      </c>
      <c r="AD917" s="86">
        <v>15837</v>
      </c>
      <c r="AE917" s="86">
        <v>15837</v>
      </c>
      <c r="AF917" s="70" t="s">
        <v>10305</v>
      </c>
      <c r="AG917" s="17" t="s">
        <v>11006</v>
      </c>
      <c r="AH917" s="17" t="s">
        <v>94</v>
      </c>
      <c r="AI917" s="70" t="s">
        <v>11007</v>
      </c>
      <c r="AJ917" s="17" t="s">
        <v>11008</v>
      </c>
      <c r="AK917" s="17"/>
      <c r="AL917" s="17" t="s">
        <v>11009</v>
      </c>
      <c r="AM917" s="17" t="s">
        <v>95</v>
      </c>
      <c r="AN917" s="17" t="s">
        <v>94</v>
      </c>
      <c r="AO917" s="17" t="s">
        <v>94</v>
      </c>
      <c r="AP917" s="17" t="s">
        <v>94</v>
      </c>
      <c r="AQ917" s="17" t="s">
        <v>94</v>
      </c>
      <c r="AR917" s="17" t="s">
        <v>11010</v>
      </c>
      <c r="AS917" s="17" t="s">
        <v>11011</v>
      </c>
      <c r="AT917" s="17"/>
      <c r="AU917" s="30" t="s">
        <v>11012</v>
      </c>
      <c r="AV917" s="14">
        <v>13715</v>
      </c>
      <c r="AW917" s="74"/>
      <c r="AX917" s="1" t="s">
        <v>11013</v>
      </c>
      <c r="AY917" s="17" t="s">
        <v>101</v>
      </c>
    </row>
    <row r="918" spans="1:51" ht="15" customHeight="1" x14ac:dyDescent="0.25">
      <c r="A918" s="5">
        <v>882.1</v>
      </c>
      <c r="B918" s="9" t="s">
        <v>11014</v>
      </c>
      <c r="C918" s="9" t="s">
        <v>11000</v>
      </c>
      <c r="D918" s="57" t="str">
        <f>HYPERLINK("http://prodenv.dep.state.fl.us/DepNexus/public/electronic-documents/OG_882/facility!search","OG_882_Docs")</f>
        <v>OG_882_Docs</v>
      </c>
      <c r="E918" s="57" t="str">
        <f>HYPERLINK("https://ca.dep.state.fl.us/mapdirect/?focus=oilandgas&amp;zoom=query&amp;querytype=oilandgas&amp;queryvalues=OG_882","OG_882_Map")</f>
        <v>OG_882_Map</v>
      </c>
      <c r="F918" s="1" t="s">
        <v>1797</v>
      </c>
      <c r="G918" s="1" t="s">
        <v>5133</v>
      </c>
      <c r="H918" s="1" t="s">
        <v>1363</v>
      </c>
      <c r="I918" s="1" t="s">
        <v>11015</v>
      </c>
      <c r="J918" s="17" t="s">
        <v>3646</v>
      </c>
      <c r="K918" s="17" t="s">
        <v>412</v>
      </c>
      <c r="L918" s="17"/>
      <c r="M918" s="17"/>
      <c r="N918" s="52" t="s">
        <v>11016</v>
      </c>
      <c r="O918" s="17" t="s">
        <v>86</v>
      </c>
      <c r="P918" s="17" t="s">
        <v>86</v>
      </c>
      <c r="Q918" s="81" t="s">
        <v>7741</v>
      </c>
      <c r="R918" s="11">
        <v>30.951891</v>
      </c>
      <c r="S918" s="11">
        <v>-87.141977999999995</v>
      </c>
      <c r="T918" s="11" t="s">
        <v>11003</v>
      </c>
      <c r="U918" s="11" t="s">
        <v>11004</v>
      </c>
      <c r="V918" s="17" t="s">
        <v>11005</v>
      </c>
      <c r="W918" s="17" t="s">
        <v>11017</v>
      </c>
      <c r="X918" s="70">
        <v>274</v>
      </c>
      <c r="Y918" s="70">
        <v>246.5</v>
      </c>
      <c r="Z918" s="13">
        <v>39559</v>
      </c>
      <c r="AA918" s="13">
        <v>39570</v>
      </c>
      <c r="AB918" s="13">
        <v>39649</v>
      </c>
      <c r="AC918" s="13"/>
      <c r="AD918" s="86">
        <v>15684</v>
      </c>
      <c r="AE918" s="70">
        <v>18875</v>
      </c>
      <c r="AF918" s="70" t="s">
        <v>10305</v>
      </c>
      <c r="AG918" s="17" t="s">
        <v>11006</v>
      </c>
      <c r="AH918" s="17" t="s">
        <v>94</v>
      </c>
      <c r="AI918" s="70" t="s">
        <v>11007</v>
      </c>
      <c r="AJ918" s="17" t="s">
        <v>94</v>
      </c>
      <c r="AK918" s="17" t="s">
        <v>94</v>
      </c>
      <c r="AL918" s="17" t="s">
        <v>94</v>
      </c>
      <c r="AM918" s="17" t="s">
        <v>94</v>
      </c>
      <c r="AN918" s="17" t="s">
        <v>94</v>
      </c>
      <c r="AO918" s="17" t="s">
        <v>11018</v>
      </c>
      <c r="AP918" s="17" t="s">
        <v>11019</v>
      </c>
      <c r="AQ918" s="17" t="s">
        <v>11020</v>
      </c>
      <c r="AR918" s="17" t="s">
        <v>11021</v>
      </c>
      <c r="AS918" s="17"/>
      <c r="AT918" s="17"/>
      <c r="AU918" s="30" t="s">
        <v>11022</v>
      </c>
      <c r="AV918" s="14"/>
      <c r="AW918" s="74">
        <v>309898</v>
      </c>
      <c r="AX918" s="1" t="s">
        <v>11023</v>
      </c>
      <c r="AY918" s="17" t="s">
        <v>101</v>
      </c>
    </row>
    <row r="919" spans="1:51" ht="15" customHeight="1" x14ac:dyDescent="0.25">
      <c r="A919" s="5">
        <v>883</v>
      </c>
      <c r="B919" s="9">
        <v>883</v>
      </c>
      <c r="C919" s="9" t="s">
        <v>11024</v>
      </c>
      <c r="D919" s="57" t="str">
        <f>HYPERLINK("http://prodenv.dep.state.fl.us/DepNexus/public/electronic-documents/OG_883/facility!search","OG_883_Docs")</f>
        <v>OG_883_Docs</v>
      </c>
      <c r="E919" s="57" t="str">
        <f>HYPERLINK("https://ca.dep.state.fl.us/mapdirect/?focus=oilandgas&amp;zoom=query&amp;querytype=oilandgas&amp;queryvalues=OG_883","OG_883_Map")</f>
        <v>OG_883_Map</v>
      </c>
      <c r="F919" s="1" t="s">
        <v>1682</v>
      </c>
      <c r="G919" s="1" t="s">
        <v>5133</v>
      </c>
      <c r="H919" s="1" t="s">
        <v>8261</v>
      </c>
      <c r="I919" s="1" t="s">
        <v>11025</v>
      </c>
      <c r="J919" s="17" t="s">
        <v>268</v>
      </c>
      <c r="K919" s="17" t="s">
        <v>412</v>
      </c>
      <c r="L919" s="17"/>
      <c r="M919" s="17"/>
      <c r="N919" s="52" t="s">
        <v>6529</v>
      </c>
      <c r="O919" s="17" t="s">
        <v>86</v>
      </c>
      <c r="P919" s="17" t="s">
        <v>86</v>
      </c>
      <c r="Q919" s="81" t="s">
        <v>11026</v>
      </c>
      <c r="R919" s="11">
        <v>30.980665999999999</v>
      </c>
      <c r="S919" s="11">
        <v>-87.191214000000002</v>
      </c>
      <c r="T919" s="11" t="s">
        <v>11027</v>
      </c>
      <c r="U919" s="11" t="s">
        <v>11028</v>
      </c>
      <c r="V919" s="17" t="s">
        <v>11029</v>
      </c>
      <c r="W919" s="17" t="s">
        <v>11030</v>
      </c>
      <c r="X919" s="70">
        <v>78.099999999999994</v>
      </c>
      <c r="Y919" s="70">
        <v>53.9</v>
      </c>
      <c r="Z919" s="13">
        <v>28206</v>
      </c>
      <c r="AA919" s="13">
        <v>28563</v>
      </c>
      <c r="AB919" s="13"/>
      <c r="AC919" s="13">
        <v>28704</v>
      </c>
      <c r="AD919" s="86">
        <v>15613</v>
      </c>
      <c r="AE919" s="86">
        <v>15840</v>
      </c>
      <c r="AF919" s="70" t="s">
        <v>11031</v>
      </c>
      <c r="AG919" s="17" t="s">
        <v>6277</v>
      </c>
      <c r="AH919" s="17" t="s">
        <v>94</v>
      </c>
      <c r="AI919" s="70" t="s">
        <v>11032</v>
      </c>
      <c r="AJ919" s="17" t="s">
        <v>11033</v>
      </c>
      <c r="AK919" s="17"/>
      <c r="AL919" s="17" t="s">
        <v>11034</v>
      </c>
      <c r="AM919" s="17" t="s">
        <v>95</v>
      </c>
      <c r="AN919" s="17" t="s">
        <v>94</v>
      </c>
      <c r="AO919" s="17" t="s">
        <v>11035</v>
      </c>
      <c r="AP919" s="17" t="s">
        <v>11036</v>
      </c>
      <c r="AQ919" s="17" t="s">
        <v>10995</v>
      </c>
      <c r="AR919" s="17" t="s">
        <v>11037</v>
      </c>
      <c r="AS919" s="17" t="s">
        <v>11038</v>
      </c>
      <c r="AT919" s="17"/>
      <c r="AU919" s="30" t="s">
        <v>11039</v>
      </c>
      <c r="AV919" s="14">
        <v>13978</v>
      </c>
      <c r="AW919" s="74"/>
      <c r="AX919" s="1"/>
      <c r="AY919" s="17" t="s">
        <v>101</v>
      </c>
    </row>
    <row r="920" spans="1:51" ht="15" customHeight="1" x14ac:dyDescent="0.25">
      <c r="A920" s="5">
        <v>884</v>
      </c>
      <c r="B920" s="9">
        <v>884</v>
      </c>
      <c r="C920" s="9" t="s">
        <v>11040</v>
      </c>
      <c r="D920" s="57" t="str">
        <f>HYPERLINK("http://prodenv.dep.state.fl.us/DepNexus/public/electronic-documents/OG_884/facility!search","OG_884_Docs")</f>
        <v>OG_884_Docs</v>
      </c>
      <c r="E920" s="57" t="str">
        <f>HYPERLINK("https://ca.dep.state.fl.us/mapdirect/?focus=oilandgas&amp;zoom=query&amp;querytype=oilandgas&amp;queryvalues=OG_884","OG_884_Map")</f>
        <v>OG_884_Map</v>
      </c>
      <c r="F920" s="1" t="s">
        <v>1682</v>
      </c>
      <c r="G920" s="1" t="s">
        <v>5133</v>
      </c>
      <c r="H920" s="1" t="s">
        <v>8261</v>
      </c>
      <c r="I920" s="1" t="s">
        <v>11041</v>
      </c>
      <c r="J920" s="17" t="s">
        <v>268</v>
      </c>
      <c r="K920" s="17" t="s">
        <v>412</v>
      </c>
      <c r="L920" s="17"/>
      <c r="M920" s="17"/>
      <c r="N920" s="52" t="s">
        <v>8095</v>
      </c>
      <c r="O920" s="17" t="s">
        <v>86</v>
      </c>
      <c r="P920" s="17" t="s">
        <v>86</v>
      </c>
      <c r="Q920" s="81" t="s">
        <v>6219</v>
      </c>
      <c r="R920" s="11">
        <v>30.995418999999998</v>
      </c>
      <c r="S920" s="11">
        <v>-87.178307000000004</v>
      </c>
      <c r="T920" s="11" t="s">
        <v>11042</v>
      </c>
      <c r="U920" s="11" t="s">
        <v>11043</v>
      </c>
      <c r="V920" s="17" t="s">
        <v>11044</v>
      </c>
      <c r="W920" s="17" t="s">
        <v>11045</v>
      </c>
      <c r="X920" s="70">
        <v>80.099999999999994</v>
      </c>
      <c r="Y920" s="70">
        <v>56.3</v>
      </c>
      <c r="Z920" s="13">
        <v>28206</v>
      </c>
      <c r="AA920" s="13">
        <v>28247</v>
      </c>
      <c r="AB920" s="13"/>
      <c r="AC920" s="13">
        <v>28349</v>
      </c>
      <c r="AD920" s="86">
        <v>14497</v>
      </c>
      <c r="AE920" s="86">
        <v>15798</v>
      </c>
      <c r="AF920" s="70" t="s">
        <v>11046</v>
      </c>
      <c r="AG920" s="17" t="s">
        <v>11047</v>
      </c>
      <c r="AH920" s="17" t="s">
        <v>94</v>
      </c>
      <c r="AI920" s="70" t="s">
        <v>11048</v>
      </c>
      <c r="AJ920" s="17" t="s">
        <v>11049</v>
      </c>
      <c r="AK920" s="17" t="s">
        <v>95</v>
      </c>
      <c r="AL920" s="17" t="s">
        <v>11050</v>
      </c>
      <c r="AM920" s="17" t="s">
        <v>95</v>
      </c>
      <c r="AN920" s="17" t="s">
        <v>94</v>
      </c>
      <c r="AO920" s="17" t="s">
        <v>11051</v>
      </c>
      <c r="AP920" s="17" t="s">
        <v>11052</v>
      </c>
      <c r="AQ920" s="17" t="s">
        <v>10375</v>
      </c>
      <c r="AR920" s="17" t="s">
        <v>11053</v>
      </c>
      <c r="AS920" s="17" t="s">
        <v>11054</v>
      </c>
      <c r="AT920" s="17"/>
      <c r="AU920" s="30" t="s">
        <v>11055</v>
      </c>
      <c r="AV920" s="14">
        <v>13707</v>
      </c>
      <c r="AW920" s="74"/>
      <c r="AX920" s="1"/>
      <c r="AY920" s="17" t="s">
        <v>101</v>
      </c>
    </row>
    <row r="921" spans="1:51" ht="15" customHeight="1" x14ac:dyDescent="0.25">
      <c r="A921" s="5">
        <v>884.1</v>
      </c>
      <c r="B921" s="9" t="s">
        <v>11056</v>
      </c>
      <c r="C921" s="9" t="s">
        <v>11040</v>
      </c>
      <c r="D921" s="57" t="str">
        <f>HYPERLINK("http://prodenv.dep.state.fl.us/DepNexus/public/electronic-documents/OG_884/facility!search","OG_884_Docs")</f>
        <v>OG_884_Docs</v>
      </c>
      <c r="E921" s="57" t="str">
        <f>HYPERLINK("https://ca.dep.state.fl.us/mapdirect/?focus=oilandgas&amp;zoom=query&amp;querytype=oilandgas&amp;queryvalues=OG_884","OG_884_Map")</f>
        <v>OG_884_Map</v>
      </c>
      <c r="F921" s="1" t="s">
        <v>1682</v>
      </c>
      <c r="G921" s="1" t="s">
        <v>5133</v>
      </c>
      <c r="H921" s="1" t="s">
        <v>1363</v>
      </c>
      <c r="I921" s="1" t="s">
        <v>11057</v>
      </c>
      <c r="J921" s="17" t="s">
        <v>3646</v>
      </c>
      <c r="K921" s="17" t="s">
        <v>412</v>
      </c>
      <c r="L921" s="17"/>
      <c r="M921" s="17"/>
      <c r="N921" s="52" t="s">
        <v>4735</v>
      </c>
      <c r="O921" s="17" t="s">
        <v>86</v>
      </c>
      <c r="P921" s="17" t="s">
        <v>86</v>
      </c>
      <c r="Q921" s="81" t="s">
        <v>11058</v>
      </c>
      <c r="R921" s="11">
        <v>30.995418999999998</v>
      </c>
      <c r="S921" s="11">
        <v>-87.178307000000004</v>
      </c>
      <c r="T921" s="11" t="s">
        <v>11042</v>
      </c>
      <c r="U921" s="11" t="s">
        <v>11043</v>
      </c>
      <c r="V921" s="17" t="s">
        <v>11044</v>
      </c>
      <c r="W921" s="17" t="s">
        <v>11059</v>
      </c>
      <c r="X921" s="70">
        <v>80.099999999999994</v>
      </c>
      <c r="Y921" s="70">
        <v>56.3</v>
      </c>
      <c r="Z921" s="13">
        <v>29255</v>
      </c>
      <c r="AA921" s="13">
        <v>29303</v>
      </c>
      <c r="AB921" s="13">
        <v>29396</v>
      </c>
      <c r="AC921" s="13"/>
      <c r="AD921" s="70">
        <v>15522</v>
      </c>
      <c r="AE921" s="86">
        <v>15800</v>
      </c>
      <c r="AF921" s="70" t="s">
        <v>11046</v>
      </c>
      <c r="AG921" s="17" t="s">
        <v>11047</v>
      </c>
      <c r="AH921" s="17" t="s">
        <v>94</v>
      </c>
      <c r="AI921" s="70" t="s">
        <v>11060</v>
      </c>
      <c r="AJ921" s="17" t="s">
        <v>11061</v>
      </c>
      <c r="AK921" s="17" t="s">
        <v>94</v>
      </c>
      <c r="AL921" s="17" t="s">
        <v>94</v>
      </c>
      <c r="AM921" s="17" t="s">
        <v>94</v>
      </c>
      <c r="AN921" s="17" t="s">
        <v>94</v>
      </c>
      <c r="AO921" s="17" t="s">
        <v>11062</v>
      </c>
      <c r="AP921" s="17" t="s">
        <v>11063</v>
      </c>
      <c r="AQ921" s="17" t="s">
        <v>6662</v>
      </c>
      <c r="AR921" s="17" t="s">
        <v>11064</v>
      </c>
      <c r="AS921" s="17"/>
      <c r="AT921" s="17"/>
      <c r="AU921" s="30" t="s">
        <v>11065</v>
      </c>
      <c r="AV921" s="14" t="s">
        <v>94</v>
      </c>
      <c r="AW921" s="74">
        <v>309831</v>
      </c>
      <c r="AX921" s="1"/>
      <c r="AY921" s="17" t="s">
        <v>101</v>
      </c>
    </row>
    <row r="922" spans="1:51" ht="15" customHeight="1" x14ac:dyDescent="0.25">
      <c r="A922" s="5">
        <v>885</v>
      </c>
      <c r="B922" s="9">
        <v>885</v>
      </c>
      <c r="C922" s="9" t="s">
        <v>11066</v>
      </c>
      <c r="D922" s="57" t="str">
        <f>HYPERLINK("http://prodenv.dep.state.fl.us/DepNexus/public/electronic-documents/OG_885/facility!search","OG_885_Docs")</f>
        <v>OG_885_Docs</v>
      </c>
      <c r="E922" s="57" t="str">
        <f>HYPERLINK("https://ca.dep.state.fl.us/mapdirect/?focus=oilandgas&amp;zoom=query&amp;querytype=oilandgas&amp;queryvalues=OG_885","OG_885_Map")</f>
        <v>OG_885_Map</v>
      </c>
      <c r="F922" s="1" t="s">
        <v>265</v>
      </c>
      <c r="G922" s="1" t="s">
        <v>79</v>
      </c>
      <c r="H922" s="1" t="s">
        <v>8261</v>
      </c>
      <c r="I922" s="1" t="s">
        <v>11067</v>
      </c>
      <c r="J922" s="17" t="s">
        <v>82</v>
      </c>
      <c r="K922" s="17" t="s">
        <v>83</v>
      </c>
      <c r="L922" s="17"/>
      <c r="M922" s="17"/>
      <c r="N922" s="52" t="s">
        <v>7568</v>
      </c>
      <c r="O922" s="17" t="s">
        <v>270</v>
      </c>
      <c r="P922" s="17" t="s">
        <v>3395</v>
      </c>
      <c r="Q922" s="81" t="s">
        <v>11068</v>
      </c>
      <c r="R922" s="11">
        <v>26.077583000000001</v>
      </c>
      <c r="S922" s="11">
        <v>-81.168993999999998</v>
      </c>
      <c r="T922" s="11" t="s">
        <v>11069</v>
      </c>
      <c r="U922" s="11" t="s">
        <v>11070</v>
      </c>
      <c r="V922" s="17" t="s">
        <v>11071</v>
      </c>
      <c r="W922" s="17"/>
      <c r="X922" s="70">
        <v>38.200000000000003</v>
      </c>
      <c r="Y922" s="70">
        <v>13.5</v>
      </c>
      <c r="Z922" s="13">
        <v>28206</v>
      </c>
      <c r="AA922" s="13">
        <v>28613</v>
      </c>
      <c r="AB922" s="13"/>
      <c r="AC922" s="13">
        <v>28642</v>
      </c>
      <c r="AD922" s="86">
        <v>11900</v>
      </c>
      <c r="AE922" s="86">
        <v>11900</v>
      </c>
      <c r="AF922" s="70" t="s">
        <v>10896</v>
      </c>
      <c r="AG922" s="17" t="s">
        <v>11072</v>
      </c>
      <c r="AH922" s="17" t="s">
        <v>11073</v>
      </c>
      <c r="AI922" s="70" t="s">
        <v>94</v>
      </c>
      <c r="AJ922" s="17" t="s">
        <v>94</v>
      </c>
      <c r="AK922" s="17" t="s">
        <v>95</v>
      </c>
      <c r="AL922" s="17" t="s">
        <v>94</v>
      </c>
      <c r="AM922" s="17" t="s">
        <v>94</v>
      </c>
      <c r="AN922" s="17" t="s">
        <v>94</v>
      </c>
      <c r="AO922" s="17" t="s">
        <v>98</v>
      </c>
      <c r="AP922" s="17" t="s">
        <v>98</v>
      </c>
      <c r="AQ922" s="17" t="s">
        <v>98</v>
      </c>
      <c r="AR922" s="17" t="s">
        <v>94</v>
      </c>
      <c r="AS922" s="17" t="s">
        <v>11074</v>
      </c>
      <c r="AT922" s="17"/>
      <c r="AU922" s="30" t="s">
        <v>11075</v>
      </c>
      <c r="AV922" s="14">
        <v>13975</v>
      </c>
      <c r="AW922" s="74"/>
      <c r="AX922" s="1"/>
      <c r="AY922" s="17" t="s">
        <v>101</v>
      </c>
    </row>
    <row r="923" spans="1:51" ht="15" customHeight="1" x14ac:dyDescent="0.25">
      <c r="A923" s="5">
        <v>886</v>
      </c>
      <c r="B923" s="9">
        <v>886</v>
      </c>
      <c r="C923" s="9" t="s">
        <v>11076</v>
      </c>
      <c r="D923" s="57" t="str">
        <f>HYPERLINK("http://prodenv.dep.state.fl.us/DepNexus/public/electronic-documents/OG_886/facility!search","OG_886_Docs")</f>
        <v>OG_886_Docs</v>
      </c>
      <c r="E923" s="57" t="str">
        <f>HYPERLINK("https://ca.dep.state.fl.us/mapdirect/?focus=oilandgas&amp;zoom=query&amp;querytype=oilandgas&amp;queryvalues=OG_886","OG_886_Map")</f>
        <v>OG_886_Map</v>
      </c>
      <c r="F923" s="1" t="s">
        <v>1797</v>
      </c>
      <c r="G923" s="1" t="s">
        <v>6648</v>
      </c>
      <c r="H923" s="1" t="s">
        <v>6668</v>
      </c>
      <c r="I923" s="1" t="s">
        <v>11077</v>
      </c>
      <c r="J923" s="17" t="s">
        <v>1476</v>
      </c>
      <c r="K923" s="17" t="s">
        <v>412</v>
      </c>
      <c r="L923" s="17"/>
      <c r="M923" s="17"/>
      <c r="N923" s="52" t="s">
        <v>6529</v>
      </c>
      <c r="O923" s="17" t="s">
        <v>86</v>
      </c>
      <c r="P923" s="17" t="s">
        <v>86</v>
      </c>
      <c r="Q923" s="81" t="s">
        <v>6650</v>
      </c>
      <c r="R923" s="11">
        <v>30.858528</v>
      </c>
      <c r="S923" s="11">
        <v>-87.105553</v>
      </c>
      <c r="T923" s="11" t="s">
        <v>11078</v>
      </c>
      <c r="U923" s="11" t="s">
        <v>11079</v>
      </c>
      <c r="V923" s="17" t="s">
        <v>11080</v>
      </c>
      <c r="W923" s="17" t="s">
        <v>11081</v>
      </c>
      <c r="X923" s="70">
        <v>127.9</v>
      </c>
      <c r="Y923" s="70">
        <v>103.8</v>
      </c>
      <c r="Z923" s="13">
        <v>28276</v>
      </c>
      <c r="AA923" s="13">
        <v>28430</v>
      </c>
      <c r="AB923" s="13">
        <v>28581</v>
      </c>
      <c r="AC923" s="13">
        <v>45829</v>
      </c>
      <c r="AD923" s="86">
        <v>15934</v>
      </c>
      <c r="AE923" s="86">
        <v>16100</v>
      </c>
      <c r="AF923" s="70" t="s">
        <v>11082</v>
      </c>
      <c r="AG923" s="17" t="s">
        <v>11083</v>
      </c>
      <c r="AH923" s="17" t="s">
        <v>94</v>
      </c>
      <c r="AI923" s="70" t="s">
        <v>11084</v>
      </c>
      <c r="AJ923" s="17" t="s">
        <v>11085</v>
      </c>
      <c r="AK923" s="17" t="s">
        <v>94</v>
      </c>
      <c r="AL923" s="17" t="s">
        <v>11086</v>
      </c>
      <c r="AM923" s="17" t="s">
        <v>95</v>
      </c>
      <c r="AN923" s="17" t="s">
        <v>94</v>
      </c>
      <c r="AO923" s="17" t="s">
        <v>11087</v>
      </c>
      <c r="AP923" s="17" t="s">
        <v>11088</v>
      </c>
      <c r="AQ923" s="17" t="s">
        <v>11089</v>
      </c>
      <c r="AR923" s="17" t="s">
        <v>11090</v>
      </c>
      <c r="AS923" s="17" t="s">
        <v>11091</v>
      </c>
      <c r="AT923" s="17"/>
      <c r="AU923" s="30" t="s">
        <v>11092</v>
      </c>
      <c r="AV923" s="14">
        <v>13737</v>
      </c>
      <c r="AW923" s="74">
        <v>302534</v>
      </c>
      <c r="AX923" s="1"/>
      <c r="AY923" s="17" t="s">
        <v>101</v>
      </c>
    </row>
    <row r="924" spans="1:51" ht="12.75" customHeight="1" x14ac:dyDescent="0.25">
      <c r="A924" s="5">
        <v>887</v>
      </c>
      <c r="B924" s="9">
        <v>887</v>
      </c>
      <c r="C924" s="9" t="s">
        <v>11093</v>
      </c>
      <c r="D924" s="57" t="str">
        <f>HYPERLINK("http://prodenv.dep.state.fl.us/DepNexus/public/electronic-documents/OG_887/facility!search","OG_887_Docs")</f>
        <v>OG_887_Docs</v>
      </c>
      <c r="E924" s="57" t="str">
        <f>HYPERLINK("https://ca.dep.state.fl.us/mapdirect/?focus=oilandgas&amp;zoom=query&amp;querytype=oilandgas&amp;queryvalues=OG_887","OG_887_Map")</f>
        <v>OG_887_Map</v>
      </c>
      <c r="F924" s="1" t="s">
        <v>265</v>
      </c>
      <c r="G924" s="1" t="s">
        <v>7239</v>
      </c>
      <c r="H924" s="1" t="s">
        <v>8261</v>
      </c>
      <c r="I924" s="1" t="s">
        <v>11094</v>
      </c>
      <c r="J924" s="17" t="s">
        <v>207</v>
      </c>
      <c r="K924" s="17" t="s">
        <v>208</v>
      </c>
      <c r="L924" s="17"/>
      <c r="M924" s="17" t="s">
        <v>207</v>
      </c>
      <c r="N924" s="52" t="s">
        <v>207</v>
      </c>
      <c r="O924" s="17" t="s">
        <v>270</v>
      </c>
      <c r="P924" s="17" t="s">
        <v>3395</v>
      </c>
      <c r="Q924" s="81" t="s">
        <v>11095</v>
      </c>
      <c r="R924" s="11">
        <v>26.211282000000001</v>
      </c>
      <c r="S924" s="11">
        <v>-81.279235999999997</v>
      </c>
      <c r="T924" s="11" t="s">
        <v>11096</v>
      </c>
      <c r="U924" s="11" t="s">
        <v>11097</v>
      </c>
      <c r="V924" s="17" t="s">
        <v>11098</v>
      </c>
      <c r="W924" s="17" t="s">
        <v>110</v>
      </c>
      <c r="X924" s="70"/>
      <c r="Y924" s="70"/>
      <c r="Z924" s="13">
        <v>28234</v>
      </c>
      <c r="AA924" s="13"/>
      <c r="AB924" s="13"/>
      <c r="AC924" s="13"/>
      <c r="AD924" s="86"/>
      <c r="AE924" s="70"/>
      <c r="AF924" s="70" t="s">
        <v>207</v>
      </c>
      <c r="AG924" s="14" t="s">
        <v>207</v>
      </c>
      <c r="AH924" s="14" t="s">
        <v>207</v>
      </c>
      <c r="AI924" s="70" t="s">
        <v>207</v>
      </c>
      <c r="AJ924" s="14" t="s">
        <v>207</v>
      </c>
      <c r="AK924" s="14" t="s">
        <v>207</v>
      </c>
      <c r="AL924" s="14" t="s">
        <v>207</v>
      </c>
      <c r="AM924" s="14" t="s">
        <v>207</v>
      </c>
      <c r="AN924" s="14" t="s">
        <v>207</v>
      </c>
      <c r="AO924" s="14" t="s">
        <v>207</v>
      </c>
      <c r="AP924" s="14" t="s">
        <v>207</v>
      </c>
      <c r="AQ924" s="14" t="s">
        <v>207</v>
      </c>
      <c r="AR924" s="14" t="s">
        <v>207</v>
      </c>
      <c r="AS924" s="14" t="s">
        <v>207</v>
      </c>
      <c r="AT924" s="14" t="s">
        <v>207</v>
      </c>
      <c r="AU924" s="30" t="s">
        <v>11099</v>
      </c>
      <c r="AV924" s="14" t="s">
        <v>207</v>
      </c>
      <c r="AW924" s="74"/>
      <c r="AX924" s="1"/>
      <c r="AY924" s="17" t="s">
        <v>101</v>
      </c>
    </row>
    <row r="925" spans="1:51" ht="15" customHeight="1" x14ac:dyDescent="0.25">
      <c r="A925" s="5">
        <v>888</v>
      </c>
      <c r="B925" s="9">
        <v>888</v>
      </c>
      <c r="C925" s="9" t="s">
        <v>11100</v>
      </c>
      <c r="D925" s="57" t="str">
        <f>HYPERLINK("http://prodenv.dep.state.fl.us/DepNexus/public/electronic-documents/OG_888/facility!search","OG_888_Docs")</f>
        <v>OG_888_Docs</v>
      </c>
      <c r="E925" s="57" t="str">
        <f>HYPERLINK("https://ca.dep.state.fl.us/mapdirect/?focus=oilandgas&amp;zoom=query&amp;querytype=oilandgas&amp;queryvalues=OG_888","OG_888_Map")</f>
        <v>OG_888_Map</v>
      </c>
      <c r="F925" s="1" t="s">
        <v>265</v>
      </c>
      <c r="G925" s="1" t="s">
        <v>7239</v>
      </c>
      <c r="H925" s="1" t="s">
        <v>8261</v>
      </c>
      <c r="I925" s="1" t="s">
        <v>11101</v>
      </c>
      <c r="J925" s="17" t="s">
        <v>207</v>
      </c>
      <c r="K925" s="17" t="s">
        <v>208</v>
      </c>
      <c r="L925" s="17"/>
      <c r="M925" s="17" t="s">
        <v>207</v>
      </c>
      <c r="N925" s="52" t="s">
        <v>207</v>
      </c>
      <c r="O925" s="17" t="s">
        <v>270</v>
      </c>
      <c r="P925" s="17" t="s">
        <v>3395</v>
      </c>
      <c r="Q925" s="81" t="s">
        <v>11102</v>
      </c>
      <c r="R925" s="11">
        <v>26.210608000000001</v>
      </c>
      <c r="S925" s="11">
        <v>-81.28537</v>
      </c>
      <c r="T925" s="11" t="s">
        <v>11103</v>
      </c>
      <c r="U925" s="11" t="s">
        <v>11104</v>
      </c>
      <c r="V925" s="17" t="s">
        <v>11105</v>
      </c>
      <c r="W925" s="17" t="s">
        <v>110</v>
      </c>
      <c r="X925" s="70"/>
      <c r="Y925" s="70"/>
      <c r="Z925" s="13">
        <v>28234</v>
      </c>
      <c r="AA925" s="13"/>
      <c r="AB925" s="13"/>
      <c r="AC925" s="13"/>
      <c r="AD925" s="86"/>
      <c r="AE925" s="70"/>
      <c r="AF925" s="70" t="s">
        <v>207</v>
      </c>
      <c r="AG925" s="14" t="s">
        <v>207</v>
      </c>
      <c r="AH925" s="14" t="s">
        <v>207</v>
      </c>
      <c r="AI925" s="70" t="s">
        <v>207</v>
      </c>
      <c r="AJ925" s="14" t="s">
        <v>207</v>
      </c>
      <c r="AK925" s="14" t="s">
        <v>207</v>
      </c>
      <c r="AL925" s="14" t="s">
        <v>207</v>
      </c>
      <c r="AM925" s="14" t="s">
        <v>207</v>
      </c>
      <c r="AN925" s="14" t="s">
        <v>207</v>
      </c>
      <c r="AO925" s="14" t="s">
        <v>207</v>
      </c>
      <c r="AP925" s="14" t="s">
        <v>207</v>
      </c>
      <c r="AQ925" s="14" t="s">
        <v>207</v>
      </c>
      <c r="AR925" s="14" t="s">
        <v>207</v>
      </c>
      <c r="AS925" s="14" t="s">
        <v>207</v>
      </c>
      <c r="AT925" s="14" t="s">
        <v>207</v>
      </c>
      <c r="AU925" s="30" t="s">
        <v>11106</v>
      </c>
      <c r="AV925" s="14" t="s">
        <v>207</v>
      </c>
      <c r="AW925" s="74"/>
      <c r="AX925" s="1"/>
      <c r="AY925" s="17" t="s">
        <v>101</v>
      </c>
    </row>
    <row r="926" spans="1:51" ht="12.75" customHeight="1" x14ac:dyDescent="0.25">
      <c r="A926" s="5">
        <v>889</v>
      </c>
      <c r="B926" s="9">
        <v>889</v>
      </c>
      <c r="C926" s="9" t="s">
        <v>11107</v>
      </c>
      <c r="D926" s="57" t="str">
        <f>HYPERLINK("http://prodenv.dep.state.fl.us/DepNexus/public/electronic-documents/OG_889/facility!search","OG_889_Docs")</f>
        <v>OG_889_Docs</v>
      </c>
      <c r="E926" s="57" t="str">
        <f>HYPERLINK("https://ca.dep.state.fl.us/mapdirect/?focus=oilandgas&amp;zoom=query&amp;querytype=oilandgas&amp;queryvalues=OG_889","OG_889_Map")</f>
        <v>OG_889_Map</v>
      </c>
      <c r="F926" s="1" t="s">
        <v>1797</v>
      </c>
      <c r="G926" s="1" t="s">
        <v>10981</v>
      </c>
      <c r="H926" s="1" t="s">
        <v>10982</v>
      </c>
      <c r="I926" s="1" t="s">
        <v>11108</v>
      </c>
      <c r="J926" s="17" t="s">
        <v>207</v>
      </c>
      <c r="K926" s="17" t="s">
        <v>208</v>
      </c>
      <c r="L926" s="17"/>
      <c r="M926" s="17" t="s">
        <v>207</v>
      </c>
      <c r="N926" s="52" t="s">
        <v>207</v>
      </c>
      <c r="O926" s="17" t="s">
        <v>86</v>
      </c>
      <c r="P926" s="17" t="s">
        <v>86</v>
      </c>
      <c r="Q926" s="81" t="s">
        <v>11109</v>
      </c>
      <c r="R926" s="11">
        <v>30.947914000000001</v>
      </c>
      <c r="S926" s="11">
        <v>-86.848961000000003</v>
      </c>
      <c r="T926" s="11" t="s">
        <v>11110</v>
      </c>
      <c r="U926" s="11" t="s">
        <v>11111</v>
      </c>
      <c r="V926" s="17" t="s">
        <v>11112</v>
      </c>
      <c r="W926" s="17" t="s">
        <v>110</v>
      </c>
      <c r="X926" s="70"/>
      <c r="Y926" s="70"/>
      <c r="Z926" s="13">
        <v>28262</v>
      </c>
      <c r="AA926" s="13"/>
      <c r="AB926" s="13"/>
      <c r="AC926" s="13"/>
      <c r="AD926" s="86"/>
      <c r="AE926" s="70"/>
      <c r="AF926" s="70" t="s">
        <v>207</v>
      </c>
      <c r="AG926" s="14" t="s">
        <v>207</v>
      </c>
      <c r="AH926" s="14" t="s">
        <v>207</v>
      </c>
      <c r="AI926" s="70" t="s">
        <v>207</v>
      </c>
      <c r="AJ926" s="14" t="s">
        <v>207</v>
      </c>
      <c r="AK926" s="14" t="s">
        <v>207</v>
      </c>
      <c r="AL926" s="14" t="s">
        <v>207</v>
      </c>
      <c r="AM926" s="14" t="s">
        <v>207</v>
      </c>
      <c r="AN926" s="14" t="s">
        <v>207</v>
      </c>
      <c r="AO926" s="14" t="s">
        <v>207</v>
      </c>
      <c r="AP926" s="14" t="s">
        <v>207</v>
      </c>
      <c r="AQ926" s="14" t="s">
        <v>207</v>
      </c>
      <c r="AR926" s="14" t="s">
        <v>207</v>
      </c>
      <c r="AS926" s="14" t="s">
        <v>207</v>
      </c>
      <c r="AT926" s="14" t="s">
        <v>207</v>
      </c>
      <c r="AU926" s="30" t="s">
        <v>11113</v>
      </c>
      <c r="AV926" s="14" t="s">
        <v>207</v>
      </c>
      <c r="AW926" s="74"/>
      <c r="AX926" s="1"/>
      <c r="AY926" s="17" t="s">
        <v>101</v>
      </c>
    </row>
    <row r="927" spans="1:51" ht="12.75" customHeight="1" x14ac:dyDescent="0.25">
      <c r="A927" s="5">
        <v>890</v>
      </c>
      <c r="B927" s="9">
        <v>890</v>
      </c>
      <c r="C927" s="9" t="s">
        <v>11114</v>
      </c>
      <c r="D927" s="57" t="str">
        <f>HYPERLINK("http://prodenv.dep.state.fl.us/DepNexus/public/electronic-documents/OG_890/facility!search","OG_890_Docs")</f>
        <v>OG_890_Docs</v>
      </c>
      <c r="E927" s="57" t="str">
        <f>HYPERLINK("https://ca.dep.state.fl.us/mapdirect/?focus=oilandgas&amp;zoom=query&amp;querytype=oilandgas&amp;queryvalues=OG_890","OG_890_Map")</f>
        <v>OG_890_Map</v>
      </c>
      <c r="F927" s="1" t="s">
        <v>1797</v>
      </c>
      <c r="G927" s="1" t="s">
        <v>10981</v>
      </c>
      <c r="H927" s="1" t="s">
        <v>10982</v>
      </c>
      <c r="I927" s="1" t="s">
        <v>11115</v>
      </c>
      <c r="J927" s="17" t="s">
        <v>82</v>
      </c>
      <c r="K927" s="17" t="s">
        <v>83</v>
      </c>
      <c r="L927" s="17"/>
      <c r="M927" s="17" t="s">
        <v>84</v>
      </c>
      <c r="N927" s="52" t="s">
        <v>7568</v>
      </c>
      <c r="O927" s="17" t="s">
        <v>1962</v>
      </c>
      <c r="P927" s="17" t="s">
        <v>86</v>
      </c>
      <c r="Q927" s="81" t="s">
        <v>11116</v>
      </c>
      <c r="R927" s="11">
        <v>30.934442000000001</v>
      </c>
      <c r="S927" s="11">
        <v>-86.833726999999996</v>
      </c>
      <c r="T927" s="11" t="s">
        <v>11117</v>
      </c>
      <c r="U927" s="11" t="s">
        <v>11118</v>
      </c>
      <c r="V927" s="17" t="s">
        <v>11119</v>
      </c>
      <c r="W927" s="17" t="s">
        <v>110</v>
      </c>
      <c r="X927" s="70">
        <v>229</v>
      </c>
      <c r="Y927" s="70">
        <v>198</v>
      </c>
      <c r="Z927" s="13">
        <v>28262</v>
      </c>
      <c r="AA927" s="13">
        <v>28366</v>
      </c>
      <c r="AB927" s="13"/>
      <c r="AC927" s="13">
        <v>28409</v>
      </c>
      <c r="AD927" s="86">
        <v>14700</v>
      </c>
      <c r="AE927" s="86">
        <v>14700</v>
      </c>
      <c r="AF927" s="70" t="s">
        <v>10817</v>
      </c>
      <c r="AG927" s="17" t="s">
        <v>11120</v>
      </c>
      <c r="AH927" s="17" t="s">
        <v>94</v>
      </c>
      <c r="AI927" s="70" t="s">
        <v>94</v>
      </c>
      <c r="AJ927" s="17" t="s">
        <v>94</v>
      </c>
      <c r="AK927" s="17" t="s">
        <v>95</v>
      </c>
      <c r="AL927" s="17" t="s">
        <v>11121</v>
      </c>
      <c r="AM927" s="17" t="s">
        <v>95</v>
      </c>
      <c r="AN927" s="17" t="s">
        <v>94</v>
      </c>
      <c r="AO927" s="17" t="s">
        <v>98</v>
      </c>
      <c r="AP927" s="17" t="s">
        <v>98</v>
      </c>
      <c r="AQ927" s="17" t="s">
        <v>98</v>
      </c>
      <c r="AR927" s="17" t="s">
        <v>94</v>
      </c>
      <c r="AS927" s="17" t="s">
        <v>11122</v>
      </c>
      <c r="AT927" s="17">
        <v>225</v>
      </c>
      <c r="AU927" s="30" t="s">
        <v>11123</v>
      </c>
      <c r="AV927" s="14">
        <v>13738</v>
      </c>
      <c r="AW927" s="74"/>
      <c r="AX927" s="1"/>
      <c r="AY927" s="17" t="s">
        <v>101</v>
      </c>
    </row>
    <row r="928" spans="1:51" ht="12.75" customHeight="1" x14ac:dyDescent="0.25">
      <c r="A928" s="5">
        <v>891</v>
      </c>
      <c r="B928" s="9">
        <v>891</v>
      </c>
      <c r="C928" s="9" t="s">
        <v>11124</v>
      </c>
      <c r="D928" s="57" t="str">
        <f>HYPERLINK("http://prodenv.dep.state.fl.us/DepNexus/public/electronic-documents/OG_891/facility!search","OG_891_Docs")</f>
        <v>OG_891_Docs</v>
      </c>
      <c r="E928" s="57" t="str">
        <f>HYPERLINK("https://ca.dep.state.fl.us/mapdirect/?focus=oilandgas&amp;zoom=query&amp;querytype=oilandgas&amp;queryvalues=OG_891","OG_891_Map")</f>
        <v>OG_891_Map</v>
      </c>
      <c r="F928" s="1" t="s">
        <v>1797</v>
      </c>
      <c r="G928" s="1" t="s">
        <v>10981</v>
      </c>
      <c r="H928" s="1" t="s">
        <v>10982</v>
      </c>
      <c r="I928" s="1" t="s">
        <v>11125</v>
      </c>
      <c r="J928" s="17" t="s">
        <v>207</v>
      </c>
      <c r="K928" s="17" t="s">
        <v>208</v>
      </c>
      <c r="L928" s="17"/>
      <c r="M928" s="17" t="s">
        <v>207</v>
      </c>
      <c r="N928" s="52" t="s">
        <v>207</v>
      </c>
      <c r="O928" s="17" t="s">
        <v>1962</v>
      </c>
      <c r="P928" s="17" t="s">
        <v>86</v>
      </c>
      <c r="Q928" s="81" t="s">
        <v>11126</v>
      </c>
      <c r="R928" s="11">
        <v>30.933267000000001</v>
      </c>
      <c r="S928" s="11">
        <v>-86.815167000000002</v>
      </c>
      <c r="T928" s="11" t="s">
        <v>11127</v>
      </c>
      <c r="U928" s="11" t="s">
        <v>11128</v>
      </c>
      <c r="V928" s="17" t="s">
        <v>11129</v>
      </c>
      <c r="W928" s="17" t="s">
        <v>110</v>
      </c>
      <c r="X928" s="70"/>
      <c r="Y928" s="70"/>
      <c r="Z928" s="13">
        <v>28283</v>
      </c>
      <c r="AA928" s="13"/>
      <c r="AB928" s="13"/>
      <c r="AC928" s="13"/>
      <c r="AD928" s="86"/>
      <c r="AE928" s="70"/>
      <c r="AF928" s="70" t="s">
        <v>207</v>
      </c>
      <c r="AG928" s="14" t="s">
        <v>207</v>
      </c>
      <c r="AH928" s="14" t="s">
        <v>207</v>
      </c>
      <c r="AI928" s="70" t="s">
        <v>207</v>
      </c>
      <c r="AJ928" s="14" t="s">
        <v>207</v>
      </c>
      <c r="AK928" s="14" t="s">
        <v>207</v>
      </c>
      <c r="AL928" s="14" t="s">
        <v>207</v>
      </c>
      <c r="AM928" s="14" t="s">
        <v>207</v>
      </c>
      <c r="AN928" s="14" t="s">
        <v>207</v>
      </c>
      <c r="AO928" s="14" t="s">
        <v>207</v>
      </c>
      <c r="AP928" s="14" t="s">
        <v>207</v>
      </c>
      <c r="AQ928" s="14" t="s">
        <v>207</v>
      </c>
      <c r="AR928" s="14" t="s">
        <v>207</v>
      </c>
      <c r="AS928" s="14" t="s">
        <v>207</v>
      </c>
      <c r="AT928" s="14" t="s">
        <v>207</v>
      </c>
      <c r="AU928" s="30" t="s">
        <v>11130</v>
      </c>
      <c r="AV928" s="14" t="s">
        <v>207</v>
      </c>
      <c r="AW928" s="74"/>
      <c r="AX928" s="1"/>
      <c r="AY928" s="17" t="s">
        <v>101</v>
      </c>
    </row>
    <row r="929" spans="1:51" ht="12.75" customHeight="1" x14ac:dyDescent="0.25">
      <c r="A929" s="5">
        <v>892</v>
      </c>
      <c r="B929" s="9">
        <v>892</v>
      </c>
      <c r="C929" s="9" t="s">
        <v>11131</v>
      </c>
      <c r="D929" s="57" t="str">
        <f>HYPERLINK("http://prodenv.dep.state.fl.us/DepNexus/public/electronic-documents/OG_892/facility!search","OG_892_Docs")</f>
        <v>OG_892_Docs</v>
      </c>
      <c r="E929" s="57" t="str">
        <f>HYPERLINK("https://ca.dep.state.fl.us/mapdirect/?focus=oilandgas&amp;zoom=query&amp;querytype=oilandgas&amp;queryvalues=OG_892","OG_892_Map")</f>
        <v>OG_892_Map</v>
      </c>
      <c r="F929" s="1" t="s">
        <v>2026</v>
      </c>
      <c r="G929" s="1" t="s">
        <v>4496</v>
      </c>
      <c r="H929" s="1" t="s">
        <v>8261</v>
      </c>
      <c r="I929" s="1" t="s">
        <v>11132</v>
      </c>
      <c r="J929" s="17" t="s">
        <v>82</v>
      </c>
      <c r="K929" s="17" t="s">
        <v>83</v>
      </c>
      <c r="L929" s="17"/>
      <c r="M929" s="17"/>
      <c r="N929" s="52" t="s">
        <v>4735</v>
      </c>
      <c r="O929" s="17" t="s">
        <v>86</v>
      </c>
      <c r="P929" s="17" t="s">
        <v>86</v>
      </c>
      <c r="Q929" s="81" t="s">
        <v>9141</v>
      </c>
      <c r="R929" s="11">
        <v>26.569794999999999</v>
      </c>
      <c r="S929" s="11">
        <v>-81.579502000000005</v>
      </c>
      <c r="T929" s="11" t="s">
        <v>11133</v>
      </c>
      <c r="U929" s="11" t="s">
        <v>11134</v>
      </c>
      <c r="V929" s="17" t="s">
        <v>11135</v>
      </c>
      <c r="W929" s="17" t="s">
        <v>11136</v>
      </c>
      <c r="X929" s="70">
        <v>56.7</v>
      </c>
      <c r="Y929" s="70">
        <v>30.8</v>
      </c>
      <c r="Z929" s="13">
        <v>28283</v>
      </c>
      <c r="AA929" s="13">
        <v>28299</v>
      </c>
      <c r="AB929" s="13"/>
      <c r="AC929" s="13">
        <v>28337</v>
      </c>
      <c r="AD929" s="86">
        <v>11580</v>
      </c>
      <c r="AE929" s="86">
        <v>11820</v>
      </c>
      <c r="AF929" s="70" t="s">
        <v>11137</v>
      </c>
      <c r="AG929" s="17" t="s">
        <v>10897</v>
      </c>
      <c r="AH929" s="17" t="s">
        <v>11138</v>
      </c>
      <c r="AI929" s="70" t="s">
        <v>94</v>
      </c>
      <c r="AJ929" s="17" t="s">
        <v>94</v>
      </c>
      <c r="AK929" s="17" t="s">
        <v>95</v>
      </c>
      <c r="AL929" s="17" t="s">
        <v>11139</v>
      </c>
      <c r="AM929" s="17" t="s">
        <v>94</v>
      </c>
      <c r="AN929" s="17" t="s">
        <v>94</v>
      </c>
      <c r="AO929" s="17" t="s">
        <v>98</v>
      </c>
      <c r="AP929" s="17" t="s">
        <v>98</v>
      </c>
      <c r="AQ929" s="17" t="s">
        <v>98</v>
      </c>
      <c r="AR929" s="17" t="s">
        <v>94</v>
      </c>
      <c r="AS929" s="17" t="s">
        <v>11140</v>
      </c>
      <c r="AT929" s="17" t="s">
        <v>94</v>
      </c>
      <c r="AU929" s="30" t="s">
        <v>11141</v>
      </c>
      <c r="AV929" s="14">
        <v>13714</v>
      </c>
      <c r="AW929" s="74"/>
      <c r="AX929" s="1" t="s">
        <v>11142</v>
      </c>
      <c r="AY929" s="17" t="s">
        <v>101</v>
      </c>
    </row>
    <row r="930" spans="1:51" ht="12.75" customHeight="1" x14ac:dyDescent="0.25">
      <c r="A930" s="5">
        <v>893</v>
      </c>
      <c r="B930" s="9">
        <v>893</v>
      </c>
      <c r="C930" s="9" t="s">
        <v>11143</v>
      </c>
      <c r="D930" s="57" t="str">
        <f>HYPERLINK("http://prodenv.dep.state.fl.us/DepNexus/public/electronic-documents/OG_893/facility!search","OG_893_Docs")</f>
        <v>OG_893_Docs</v>
      </c>
      <c r="E930" s="57" t="str">
        <f>HYPERLINK("https://ca.dep.state.fl.us/mapdirect/?focus=oilandgas&amp;zoom=query&amp;querytype=oilandgas&amp;queryvalues=OG_893","OG_893_Map")</f>
        <v>OG_893_Map</v>
      </c>
      <c r="F930" s="1" t="s">
        <v>1752</v>
      </c>
      <c r="G930" s="1" t="s">
        <v>8522</v>
      </c>
      <c r="H930" s="1" t="s">
        <v>10837</v>
      </c>
      <c r="I930" s="1" t="s">
        <v>11144</v>
      </c>
      <c r="J930" s="17" t="s">
        <v>207</v>
      </c>
      <c r="K930" s="17" t="s">
        <v>208</v>
      </c>
      <c r="L930" s="17"/>
      <c r="M930" s="17" t="s">
        <v>207</v>
      </c>
      <c r="N930" s="52" t="s">
        <v>207</v>
      </c>
      <c r="O930" s="17" t="s">
        <v>270</v>
      </c>
      <c r="P930" s="17" t="s">
        <v>86</v>
      </c>
      <c r="Q930" s="81" t="s">
        <v>11145</v>
      </c>
      <c r="R930" s="11">
        <v>26.311492999999999</v>
      </c>
      <c r="S930" s="11">
        <v>-81.096532999999994</v>
      </c>
      <c r="T930" s="11" t="s">
        <v>11146</v>
      </c>
      <c r="U930" s="11" t="s">
        <v>11147</v>
      </c>
      <c r="V930" s="17" t="s">
        <v>11148</v>
      </c>
      <c r="W930" s="17" t="s">
        <v>110</v>
      </c>
      <c r="X930" s="70"/>
      <c r="Y930" s="70"/>
      <c r="Z930" s="13">
        <v>28283</v>
      </c>
      <c r="AA930" s="13"/>
      <c r="AB930" s="13"/>
      <c r="AC930" s="13"/>
      <c r="AD930" s="86"/>
      <c r="AE930" s="70"/>
      <c r="AF930" s="70" t="s">
        <v>207</v>
      </c>
      <c r="AG930" s="14" t="s">
        <v>207</v>
      </c>
      <c r="AH930" s="14" t="s">
        <v>207</v>
      </c>
      <c r="AI930" s="70" t="s">
        <v>207</v>
      </c>
      <c r="AJ930" s="14" t="s">
        <v>207</v>
      </c>
      <c r="AK930" s="14" t="s">
        <v>207</v>
      </c>
      <c r="AL930" s="14" t="s">
        <v>207</v>
      </c>
      <c r="AM930" s="14" t="s">
        <v>207</v>
      </c>
      <c r="AN930" s="14" t="s">
        <v>207</v>
      </c>
      <c r="AO930" s="14" t="s">
        <v>207</v>
      </c>
      <c r="AP930" s="14" t="s">
        <v>207</v>
      </c>
      <c r="AQ930" s="14" t="s">
        <v>207</v>
      </c>
      <c r="AR930" s="14" t="s">
        <v>207</v>
      </c>
      <c r="AS930" s="14" t="s">
        <v>207</v>
      </c>
      <c r="AT930" s="14" t="s">
        <v>207</v>
      </c>
      <c r="AU930" s="30" t="s">
        <v>11149</v>
      </c>
      <c r="AV930" s="14" t="s">
        <v>207</v>
      </c>
      <c r="AW930" s="74"/>
      <c r="AX930" s="1"/>
      <c r="AY930" s="17" t="s">
        <v>101</v>
      </c>
    </row>
    <row r="931" spans="1:51" ht="12.75" customHeight="1" x14ac:dyDescent="0.25">
      <c r="A931" s="5">
        <v>894</v>
      </c>
      <c r="B931" s="9">
        <v>894</v>
      </c>
      <c r="C931" s="9" t="s">
        <v>11150</v>
      </c>
      <c r="D931" s="57" t="str">
        <f>HYPERLINK("http://prodenv.dep.state.fl.us/DepNexus/public/electronic-documents/OG_894/facility!search","OG_894_Docs")</f>
        <v>OG_894_Docs</v>
      </c>
      <c r="E931" s="57" t="str">
        <f>HYPERLINK("https://ca.dep.state.fl.us/mapdirect/?focus=oilandgas&amp;zoom=query&amp;querytype=oilandgas&amp;queryvalues=OG_894","OG_894_Map")</f>
        <v>OG_894_Map</v>
      </c>
      <c r="F931" s="1" t="s">
        <v>1752</v>
      </c>
      <c r="G931" s="1" t="s">
        <v>8522</v>
      </c>
      <c r="H931" s="1" t="s">
        <v>10837</v>
      </c>
      <c r="I931" s="1" t="s">
        <v>11151</v>
      </c>
      <c r="J931" s="17" t="s">
        <v>207</v>
      </c>
      <c r="K931" s="17" t="s">
        <v>208</v>
      </c>
      <c r="L931" s="17"/>
      <c r="M931" s="17" t="s">
        <v>207</v>
      </c>
      <c r="N931" s="52" t="s">
        <v>207</v>
      </c>
      <c r="O931" s="17" t="s">
        <v>270</v>
      </c>
      <c r="P931" s="17" t="s">
        <v>5157</v>
      </c>
      <c r="Q931" s="81" t="s">
        <v>11152</v>
      </c>
      <c r="R931" s="11">
        <v>26.289501000000001</v>
      </c>
      <c r="S931" s="11">
        <v>-81.086252999999999</v>
      </c>
      <c r="T931" s="11" t="s">
        <v>11153</v>
      </c>
      <c r="U931" s="11" t="s">
        <v>11154</v>
      </c>
      <c r="V931" s="17" t="s">
        <v>11155</v>
      </c>
      <c r="W931" s="17" t="s">
        <v>110</v>
      </c>
      <c r="X931" s="70"/>
      <c r="Y931" s="70"/>
      <c r="Z931" s="13">
        <v>28283</v>
      </c>
      <c r="AA931" s="13"/>
      <c r="AB931" s="13"/>
      <c r="AC931" s="13"/>
      <c r="AD931" s="86"/>
      <c r="AE931" s="70"/>
      <c r="AF931" s="70" t="s">
        <v>207</v>
      </c>
      <c r="AG931" s="14" t="s">
        <v>207</v>
      </c>
      <c r="AH931" s="14" t="s">
        <v>207</v>
      </c>
      <c r="AI931" s="70" t="s">
        <v>207</v>
      </c>
      <c r="AJ931" s="14" t="s">
        <v>207</v>
      </c>
      <c r="AK931" s="14" t="s">
        <v>207</v>
      </c>
      <c r="AL931" s="14" t="s">
        <v>207</v>
      </c>
      <c r="AM931" s="14" t="s">
        <v>207</v>
      </c>
      <c r="AN931" s="14" t="s">
        <v>207</v>
      </c>
      <c r="AO931" s="14" t="s">
        <v>207</v>
      </c>
      <c r="AP931" s="14" t="s">
        <v>207</v>
      </c>
      <c r="AQ931" s="14" t="s">
        <v>207</v>
      </c>
      <c r="AR931" s="14" t="s">
        <v>207</v>
      </c>
      <c r="AS931" s="14" t="s">
        <v>207</v>
      </c>
      <c r="AT931" s="14" t="s">
        <v>207</v>
      </c>
      <c r="AU931" s="30" t="s">
        <v>11156</v>
      </c>
      <c r="AV931" s="14" t="s">
        <v>207</v>
      </c>
      <c r="AW931" s="74"/>
      <c r="AX931" s="1"/>
      <c r="AY931" s="17" t="s">
        <v>101</v>
      </c>
    </row>
    <row r="932" spans="1:51" ht="12.75" customHeight="1" x14ac:dyDescent="0.25">
      <c r="A932" s="5">
        <v>895</v>
      </c>
      <c r="B932" s="9">
        <v>895</v>
      </c>
      <c r="C932" s="9" t="s">
        <v>11157</v>
      </c>
      <c r="D932" s="57" t="str">
        <f>HYPERLINK("http://prodenv.dep.state.fl.us/DepNexus/public/electronic-documents/OG_895/facility!search","OG_895_Docs")</f>
        <v>OG_895_Docs</v>
      </c>
      <c r="E932" s="57" t="str">
        <f>HYPERLINK("https://ca.dep.state.fl.us/mapdirect/?focus=oilandgas&amp;zoom=query&amp;querytype=oilandgas&amp;queryvalues=OG_895","OG_895_Map")</f>
        <v>OG_895_Map</v>
      </c>
      <c r="F932" s="1" t="s">
        <v>265</v>
      </c>
      <c r="G932" s="1" t="s">
        <v>79</v>
      </c>
      <c r="H932" s="1" t="s">
        <v>10837</v>
      </c>
      <c r="I932" s="1" t="s">
        <v>11158</v>
      </c>
      <c r="J932" s="17" t="s">
        <v>207</v>
      </c>
      <c r="K932" s="17" t="s">
        <v>208</v>
      </c>
      <c r="L932" s="17"/>
      <c r="M932" s="17" t="s">
        <v>207</v>
      </c>
      <c r="N932" s="52" t="s">
        <v>207</v>
      </c>
      <c r="O932" s="17" t="s">
        <v>270</v>
      </c>
      <c r="P932" s="17" t="s">
        <v>86</v>
      </c>
      <c r="Q932" s="81" t="s">
        <v>10332</v>
      </c>
      <c r="R932" s="11">
        <v>26.445029000000002</v>
      </c>
      <c r="S932" s="11">
        <v>-81.301196000000004</v>
      </c>
      <c r="T932" s="11" t="s">
        <v>11159</v>
      </c>
      <c r="U932" s="11" t="s">
        <v>10334</v>
      </c>
      <c r="V932" s="17" t="s">
        <v>11160</v>
      </c>
      <c r="W932" s="17" t="s">
        <v>110</v>
      </c>
      <c r="X932" s="70"/>
      <c r="Y932" s="70"/>
      <c r="Z932" s="13">
        <v>28283</v>
      </c>
      <c r="AA932" s="13"/>
      <c r="AB932" s="13"/>
      <c r="AC932" s="13"/>
      <c r="AD932" s="86"/>
      <c r="AE932" s="70"/>
      <c r="AF932" s="70" t="s">
        <v>207</v>
      </c>
      <c r="AG932" s="14" t="s">
        <v>207</v>
      </c>
      <c r="AH932" s="14" t="s">
        <v>207</v>
      </c>
      <c r="AI932" s="70" t="s">
        <v>207</v>
      </c>
      <c r="AJ932" s="14" t="s">
        <v>207</v>
      </c>
      <c r="AK932" s="14" t="s">
        <v>207</v>
      </c>
      <c r="AL932" s="14" t="s">
        <v>207</v>
      </c>
      <c r="AM932" s="14" t="s">
        <v>207</v>
      </c>
      <c r="AN932" s="14" t="s">
        <v>207</v>
      </c>
      <c r="AO932" s="14" t="s">
        <v>207</v>
      </c>
      <c r="AP932" s="14" t="s">
        <v>207</v>
      </c>
      <c r="AQ932" s="14" t="s">
        <v>207</v>
      </c>
      <c r="AR932" s="14" t="s">
        <v>207</v>
      </c>
      <c r="AS932" s="14" t="s">
        <v>207</v>
      </c>
      <c r="AT932" s="14" t="s">
        <v>207</v>
      </c>
      <c r="AU932" s="30" t="s">
        <v>11161</v>
      </c>
      <c r="AV932" s="14" t="s">
        <v>207</v>
      </c>
      <c r="AW932" s="74"/>
      <c r="AX932" s="1"/>
      <c r="AY932" s="17" t="s">
        <v>101</v>
      </c>
    </row>
    <row r="933" spans="1:51" ht="12.75" customHeight="1" x14ac:dyDescent="0.25">
      <c r="A933" s="5">
        <v>896</v>
      </c>
      <c r="B933" s="9">
        <v>896</v>
      </c>
      <c r="C933" s="9" t="s">
        <v>11162</v>
      </c>
      <c r="D933" s="57" t="str">
        <f>HYPERLINK("http://prodenv.dep.state.fl.us/DepNexus/public/electronic-documents/OG_896/facility!search","OG_896_Docs")</f>
        <v>OG_896_Docs</v>
      </c>
      <c r="E933" s="57" t="str">
        <f>HYPERLINK("https://ca.dep.state.fl.us/mapdirect/?focus=oilandgas&amp;zoom=query&amp;querytype=oilandgas&amp;queryvalues=OG_896","OG_896_Map")</f>
        <v>OG_896_Map</v>
      </c>
      <c r="F933" s="1" t="s">
        <v>265</v>
      </c>
      <c r="G933" s="1" t="s">
        <v>7239</v>
      </c>
      <c r="H933" s="1" t="s">
        <v>8261</v>
      </c>
      <c r="I933" s="1" t="s">
        <v>11163</v>
      </c>
      <c r="J933" s="17" t="s">
        <v>207</v>
      </c>
      <c r="K933" s="17" t="s">
        <v>208</v>
      </c>
      <c r="L933" s="17"/>
      <c r="M933" s="17" t="s">
        <v>207</v>
      </c>
      <c r="N933" s="52" t="s">
        <v>207</v>
      </c>
      <c r="O933" s="17" t="s">
        <v>270</v>
      </c>
      <c r="P933" s="17" t="s">
        <v>3395</v>
      </c>
      <c r="Q933" s="81" t="s">
        <v>11164</v>
      </c>
      <c r="R933" s="11">
        <v>26.202939000000001</v>
      </c>
      <c r="S933" s="11">
        <v>-81.286980999999997</v>
      </c>
      <c r="T933" s="11" t="s">
        <v>11165</v>
      </c>
      <c r="U933" s="11" t="s">
        <v>11166</v>
      </c>
      <c r="V933" s="17" t="s">
        <v>11167</v>
      </c>
      <c r="W933" s="17" t="s">
        <v>110</v>
      </c>
      <c r="X933" s="70"/>
      <c r="Y933" s="70"/>
      <c r="Z933" s="13">
        <v>28283</v>
      </c>
      <c r="AA933" s="13"/>
      <c r="AB933" s="13"/>
      <c r="AC933" s="13"/>
      <c r="AD933" s="86"/>
      <c r="AE933" s="70"/>
      <c r="AF933" s="70" t="s">
        <v>207</v>
      </c>
      <c r="AG933" s="14" t="s">
        <v>207</v>
      </c>
      <c r="AH933" s="14" t="s">
        <v>207</v>
      </c>
      <c r="AI933" s="70" t="s">
        <v>207</v>
      </c>
      <c r="AJ933" s="14" t="s">
        <v>207</v>
      </c>
      <c r="AK933" s="14" t="s">
        <v>207</v>
      </c>
      <c r="AL933" s="14" t="s">
        <v>207</v>
      </c>
      <c r="AM933" s="14" t="s">
        <v>207</v>
      </c>
      <c r="AN933" s="14" t="s">
        <v>207</v>
      </c>
      <c r="AO933" s="14" t="s">
        <v>207</v>
      </c>
      <c r="AP933" s="14" t="s">
        <v>207</v>
      </c>
      <c r="AQ933" s="14" t="s">
        <v>207</v>
      </c>
      <c r="AR933" s="14" t="s">
        <v>207</v>
      </c>
      <c r="AS933" s="14" t="s">
        <v>207</v>
      </c>
      <c r="AT933" s="14" t="s">
        <v>207</v>
      </c>
      <c r="AU933" s="30" t="s">
        <v>11168</v>
      </c>
      <c r="AV933" s="14" t="s">
        <v>207</v>
      </c>
      <c r="AW933" s="74"/>
      <c r="AX933" s="1"/>
      <c r="AY933" s="17" t="s">
        <v>101</v>
      </c>
    </row>
    <row r="934" spans="1:51" ht="12.75" customHeight="1" x14ac:dyDescent="0.25">
      <c r="A934" s="5">
        <v>897</v>
      </c>
      <c r="B934" s="9">
        <v>897</v>
      </c>
      <c r="C934" s="9" t="s">
        <v>11169</v>
      </c>
      <c r="D934" s="57" t="str">
        <f>HYPERLINK("http://prodenv.dep.state.fl.us/DepNexus/public/electronic-documents/OG_897/facility!search","OG_897_Docs")</f>
        <v>OG_897_Docs</v>
      </c>
      <c r="E934" s="57" t="str">
        <f>HYPERLINK("https://ca.dep.state.fl.us/mapdirect/?focus=oilandgas&amp;zoom=query&amp;querytype=oilandgas&amp;queryvalues=OG_897","OG_897_Map")</f>
        <v>OG_897_Map</v>
      </c>
      <c r="F934" s="1" t="s">
        <v>265</v>
      </c>
      <c r="G934" s="1" t="s">
        <v>11170</v>
      </c>
      <c r="H934" s="1" t="s">
        <v>8318</v>
      </c>
      <c r="I934" s="1" t="s">
        <v>11171</v>
      </c>
      <c r="J934" s="17" t="s">
        <v>268</v>
      </c>
      <c r="K934" s="17" t="s">
        <v>412</v>
      </c>
      <c r="L934" s="17"/>
      <c r="M934" s="17" t="s">
        <v>101</v>
      </c>
      <c r="N934" s="52" t="s">
        <v>11172</v>
      </c>
      <c r="O934" s="17" t="s">
        <v>270</v>
      </c>
      <c r="P934" s="17" t="s">
        <v>3395</v>
      </c>
      <c r="Q934" s="81" t="s">
        <v>11173</v>
      </c>
      <c r="R934" s="11">
        <v>26.195753</v>
      </c>
      <c r="S934" s="11">
        <v>-81.286642000000001</v>
      </c>
      <c r="T934" s="11" t="s">
        <v>11174</v>
      </c>
      <c r="U934" s="11" t="s">
        <v>11175</v>
      </c>
      <c r="V934" s="17" t="s">
        <v>11176</v>
      </c>
      <c r="W934" s="17" t="s">
        <v>110</v>
      </c>
      <c r="X934" s="70">
        <v>39.700000000000003</v>
      </c>
      <c r="Y934" s="70">
        <v>16.7</v>
      </c>
      <c r="Z934" s="13">
        <v>28283</v>
      </c>
      <c r="AA934" s="13">
        <v>28654</v>
      </c>
      <c r="AB934" s="13">
        <v>28761</v>
      </c>
      <c r="AC934" s="13">
        <v>35185</v>
      </c>
      <c r="AD934" s="86">
        <v>11897</v>
      </c>
      <c r="AE934" s="86">
        <v>11897</v>
      </c>
      <c r="AF934" s="70" t="s">
        <v>11177</v>
      </c>
      <c r="AG934" s="17" t="s">
        <v>11178</v>
      </c>
      <c r="AH934" s="17" t="s">
        <v>11179</v>
      </c>
      <c r="AI934" s="70" t="s">
        <v>11180</v>
      </c>
      <c r="AJ934" s="17" t="s">
        <v>94</v>
      </c>
      <c r="AK934" s="17" t="s">
        <v>95</v>
      </c>
      <c r="AL934" s="17" t="s">
        <v>11181</v>
      </c>
      <c r="AM934" s="17" t="s">
        <v>95</v>
      </c>
      <c r="AN934" s="17" t="s">
        <v>11182</v>
      </c>
      <c r="AO934" s="17" t="s">
        <v>11183</v>
      </c>
      <c r="AP934" s="17" t="s">
        <v>3638</v>
      </c>
      <c r="AQ934" s="17" t="s">
        <v>11184</v>
      </c>
      <c r="AR934" s="17" t="s">
        <v>11185</v>
      </c>
      <c r="AS934" s="17" t="s">
        <v>11186</v>
      </c>
      <c r="AT934" s="17">
        <v>177</v>
      </c>
      <c r="AU934" s="30" t="s">
        <v>11187</v>
      </c>
      <c r="AV934" s="14">
        <v>14015</v>
      </c>
      <c r="AW934" s="74"/>
      <c r="AX934" s="39" t="s">
        <v>11188</v>
      </c>
      <c r="AY934" s="17" t="s">
        <v>101</v>
      </c>
    </row>
    <row r="935" spans="1:51" ht="12.75" customHeight="1" x14ac:dyDescent="0.25">
      <c r="A935" s="5">
        <v>898</v>
      </c>
      <c r="B935" s="9">
        <v>898</v>
      </c>
      <c r="C935" s="9" t="s">
        <v>11189</v>
      </c>
      <c r="D935" s="57" t="str">
        <f>HYPERLINK("http://prodenv.dep.state.fl.us/DepNexus/public/electronic-documents/OG_898/facility!search","OG_898_Docs")</f>
        <v>OG_898_Docs</v>
      </c>
      <c r="E935" s="57" t="str">
        <f>HYPERLINK("https://ca.dep.state.fl.us/mapdirect/?focus=oilandgas&amp;zoom=query&amp;querytype=oilandgas&amp;queryvalues=OG_898","OG_898_Map")</f>
        <v>OG_898_Map</v>
      </c>
      <c r="F935" s="1" t="s">
        <v>265</v>
      </c>
      <c r="G935" s="1" t="s">
        <v>7239</v>
      </c>
      <c r="H935" s="1" t="s">
        <v>8261</v>
      </c>
      <c r="I935" s="1" t="s">
        <v>11190</v>
      </c>
      <c r="J935" s="17" t="s">
        <v>207</v>
      </c>
      <c r="K935" s="17" t="s">
        <v>208</v>
      </c>
      <c r="L935" s="17"/>
      <c r="M935" s="17" t="s">
        <v>207</v>
      </c>
      <c r="N935" s="52" t="s">
        <v>207</v>
      </c>
      <c r="O935" s="17" t="s">
        <v>270</v>
      </c>
      <c r="P935" s="17" t="s">
        <v>3395</v>
      </c>
      <c r="Q935" s="81" t="s">
        <v>11191</v>
      </c>
      <c r="R935" s="11">
        <v>26.184882999999999</v>
      </c>
      <c r="S935" s="11">
        <v>-81.282888999999997</v>
      </c>
      <c r="T935" s="11" t="s">
        <v>11192</v>
      </c>
      <c r="U935" s="11" t="s">
        <v>11193</v>
      </c>
      <c r="V935" s="17" t="s">
        <v>11194</v>
      </c>
      <c r="W935" s="17" t="s">
        <v>110</v>
      </c>
      <c r="X935" s="70"/>
      <c r="Y935" s="70"/>
      <c r="Z935" s="13">
        <v>28283</v>
      </c>
      <c r="AA935" s="13"/>
      <c r="AB935" s="13"/>
      <c r="AC935" s="13"/>
      <c r="AD935" s="86"/>
      <c r="AE935" s="70"/>
      <c r="AF935" s="70" t="s">
        <v>207</v>
      </c>
      <c r="AG935" s="14" t="s">
        <v>207</v>
      </c>
      <c r="AH935" s="14" t="s">
        <v>207</v>
      </c>
      <c r="AI935" s="70" t="s">
        <v>207</v>
      </c>
      <c r="AJ935" s="14" t="s">
        <v>207</v>
      </c>
      <c r="AK935" s="14" t="s">
        <v>207</v>
      </c>
      <c r="AL935" s="14" t="s">
        <v>207</v>
      </c>
      <c r="AM935" s="14" t="s">
        <v>207</v>
      </c>
      <c r="AN935" s="14" t="s">
        <v>207</v>
      </c>
      <c r="AO935" s="14" t="s">
        <v>207</v>
      </c>
      <c r="AP935" s="14" t="s">
        <v>207</v>
      </c>
      <c r="AQ935" s="14" t="s">
        <v>207</v>
      </c>
      <c r="AR935" s="14" t="s">
        <v>207</v>
      </c>
      <c r="AS935" s="14" t="s">
        <v>207</v>
      </c>
      <c r="AT935" s="14" t="s">
        <v>207</v>
      </c>
      <c r="AU935" s="30" t="s">
        <v>11195</v>
      </c>
      <c r="AV935" s="14" t="s">
        <v>207</v>
      </c>
      <c r="AW935" s="74"/>
      <c r="AX935" s="1"/>
      <c r="AY935" s="17" t="s">
        <v>101</v>
      </c>
    </row>
    <row r="936" spans="1:51" ht="15" customHeight="1" x14ac:dyDescent="0.25">
      <c r="A936" s="5">
        <v>899</v>
      </c>
      <c r="B936" s="9">
        <v>899</v>
      </c>
      <c r="C936" s="9" t="s">
        <v>11196</v>
      </c>
      <c r="D936" s="57" t="str">
        <f>HYPERLINK("http://prodenv.dep.state.fl.us/DepNexus/public/electronic-documents/OG_899/facility!search","OG_899_Docs")</f>
        <v>OG_899_Docs</v>
      </c>
      <c r="E936" s="57" t="str">
        <f>HYPERLINK("https://ca.dep.state.fl.us/mapdirect/?focus=oilandgas&amp;zoom=query&amp;querytype=oilandgas&amp;queryvalues=OG_899","OG_899_Map")</f>
        <v>OG_899_Map</v>
      </c>
      <c r="F936" s="1" t="s">
        <v>265</v>
      </c>
      <c r="G936" s="1" t="s">
        <v>7239</v>
      </c>
      <c r="H936" s="1" t="s">
        <v>8261</v>
      </c>
      <c r="I936" s="1" t="s">
        <v>11197</v>
      </c>
      <c r="J936" s="17" t="s">
        <v>82</v>
      </c>
      <c r="K936" s="17" t="s">
        <v>83</v>
      </c>
      <c r="L936" s="17"/>
      <c r="M936" s="17"/>
      <c r="N936" s="52" t="s">
        <v>4735</v>
      </c>
      <c r="O936" s="17" t="s">
        <v>270</v>
      </c>
      <c r="P936" s="17" t="s">
        <v>3395</v>
      </c>
      <c r="Q936" s="81" t="s">
        <v>11095</v>
      </c>
      <c r="R936" s="11">
        <v>26.199245000000001</v>
      </c>
      <c r="S936" s="11">
        <v>-81.282870000000003</v>
      </c>
      <c r="T936" s="11" t="s">
        <v>11198</v>
      </c>
      <c r="U936" s="11" t="s">
        <v>11199</v>
      </c>
      <c r="V936" s="17" t="s">
        <v>11200</v>
      </c>
      <c r="W936" s="17" t="s">
        <v>11201</v>
      </c>
      <c r="X936" s="70">
        <v>40</v>
      </c>
      <c r="Y936" s="70">
        <v>17</v>
      </c>
      <c r="Z936" s="13">
        <v>28283</v>
      </c>
      <c r="AA936" s="13">
        <v>28867</v>
      </c>
      <c r="AB936" s="13">
        <v>28912</v>
      </c>
      <c r="AC936" s="13">
        <v>33347</v>
      </c>
      <c r="AD936" s="86">
        <v>11799</v>
      </c>
      <c r="AE936" s="86">
        <v>12360</v>
      </c>
      <c r="AF936" s="70" t="s">
        <v>11202</v>
      </c>
      <c r="AG936" s="17" t="s">
        <v>11072</v>
      </c>
      <c r="AH936" s="17" t="s">
        <v>11203</v>
      </c>
      <c r="AI936" s="70" t="s">
        <v>94</v>
      </c>
      <c r="AJ936" s="17" t="s">
        <v>94</v>
      </c>
      <c r="AK936" s="17" t="s">
        <v>95</v>
      </c>
      <c r="AL936" s="17" t="s">
        <v>11204</v>
      </c>
      <c r="AM936" s="17" t="s">
        <v>94</v>
      </c>
      <c r="AN936" s="17" t="s">
        <v>94</v>
      </c>
      <c r="AO936" s="17" t="s">
        <v>98</v>
      </c>
      <c r="AP936" s="17" t="s">
        <v>98</v>
      </c>
      <c r="AQ936" s="17" t="s">
        <v>98</v>
      </c>
      <c r="AR936" s="17" t="s">
        <v>94</v>
      </c>
      <c r="AS936" s="17" t="s">
        <v>11205</v>
      </c>
      <c r="AT936" s="17" t="s">
        <v>94</v>
      </c>
      <c r="AU936" s="30" t="s">
        <v>11206</v>
      </c>
      <c r="AV936" s="14">
        <v>14200</v>
      </c>
      <c r="AW936" s="74"/>
      <c r="AX936" s="1"/>
      <c r="AY936" s="17" t="s">
        <v>101</v>
      </c>
    </row>
    <row r="937" spans="1:51" ht="12.75" customHeight="1" x14ac:dyDescent="0.25">
      <c r="A937" s="5">
        <v>900</v>
      </c>
      <c r="B937" s="9">
        <v>900</v>
      </c>
      <c r="C937" s="9" t="s">
        <v>11207</v>
      </c>
      <c r="D937" s="57" t="str">
        <f>HYPERLINK("http://prodenv.dep.state.fl.us/DepNexus/public/electronic-documents/OG_900/facility!search","OG_900_Docs")</f>
        <v>OG_900_Docs</v>
      </c>
      <c r="E937" s="57" t="str">
        <f>HYPERLINK("https://ca.dep.state.fl.us/mapdirect/?focus=oilandgas&amp;zoom=query&amp;querytype=oilandgas&amp;queryvalues=OG_900","OG_900_Map")</f>
        <v>OG_900_Map</v>
      </c>
      <c r="F937" s="1" t="s">
        <v>265</v>
      </c>
      <c r="G937" s="1" t="s">
        <v>7239</v>
      </c>
      <c r="H937" s="1" t="s">
        <v>8261</v>
      </c>
      <c r="I937" s="1" t="s">
        <v>11208</v>
      </c>
      <c r="J937" s="17" t="s">
        <v>207</v>
      </c>
      <c r="K937" s="17" t="s">
        <v>208</v>
      </c>
      <c r="L937" s="17"/>
      <c r="M937" s="17" t="s">
        <v>207</v>
      </c>
      <c r="N937" s="52" t="s">
        <v>207</v>
      </c>
      <c r="O937" s="17" t="s">
        <v>270</v>
      </c>
      <c r="P937" s="17" t="s">
        <v>3395</v>
      </c>
      <c r="Q937" s="81" t="s">
        <v>11209</v>
      </c>
      <c r="R937" s="11">
        <v>26.184639000000001</v>
      </c>
      <c r="S937" s="11">
        <v>-81.282707000000002</v>
      </c>
      <c r="T937" s="11" t="s">
        <v>11210</v>
      </c>
      <c r="U937" s="11" t="s">
        <v>11211</v>
      </c>
      <c r="V937" s="17" t="s">
        <v>11212</v>
      </c>
      <c r="W937" s="17"/>
      <c r="X937" s="70"/>
      <c r="Y937" s="70"/>
      <c r="Z937" s="13">
        <v>28283</v>
      </c>
      <c r="AA937" s="13"/>
      <c r="AB937" s="13"/>
      <c r="AC937" s="13"/>
      <c r="AD937" s="86"/>
      <c r="AE937" s="70"/>
      <c r="AF937" s="70" t="s">
        <v>207</v>
      </c>
      <c r="AG937" s="14" t="s">
        <v>207</v>
      </c>
      <c r="AH937" s="14" t="s">
        <v>207</v>
      </c>
      <c r="AI937" s="70" t="s">
        <v>207</v>
      </c>
      <c r="AJ937" s="14" t="s">
        <v>207</v>
      </c>
      <c r="AK937" s="14" t="s">
        <v>207</v>
      </c>
      <c r="AL937" s="14" t="s">
        <v>207</v>
      </c>
      <c r="AM937" s="14" t="s">
        <v>207</v>
      </c>
      <c r="AN937" s="14" t="s">
        <v>207</v>
      </c>
      <c r="AO937" s="14" t="s">
        <v>207</v>
      </c>
      <c r="AP937" s="14" t="s">
        <v>207</v>
      </c>
      <c r="AQ937" s="14" t="s">
        <v>207</v>
      </c>
      <c r="AR937" s="14" t="s">
        <v>207</v>
      </c>
      <c r="AS937" s="14" t="s">
        <v>207</v>
      </c>
      <c r="AT937" s="14" t="s">
        <v>207</v>
      </c>
      <c r="AU937" s="30" t="s">
        <v>11213</v>
      </c>
      <c r="AV937" s="14" t="s">
        <v>207</v>
      </c>
      <c r="AW937" s="74"/>
      <c r="AX937" s="1"/>
      <c r="AY937" s="17" t="s">
        <v>101</v>
      </c>
    </row>
    <row r="938" spans="1:51" ht="12.75" customHeight="1" x14ac:dyDescent="0.25">
      <c r="A938" s="5">
        <v>901</v>
      </c>
      <c r="B938" s="9">
        <v>901</v>
      </c>
      <c r="C938" s="9" t="s">
        <v>11214</v>
      </c>
      <c r="D938" s="57" t="str">
        <f>HYPERLINK("http://prodenv.dep.state.fl.us/DepNexus/public/electronic-documents/OG_901/facility!search","OG_901_Docs")</f>
        <v>OG_901_Docs</v>
      </c>
      <c r="E938" s="57" t="str">
        <f>HYPERLINK("https://ca.dep.state.fl.us/mapdirect/?focus=oilandgas&amp;zoom=query&amp;querytype=oilandgas&amp;queryvalues=OG_901","OG_901_Map")</f>
        <v>OG_901_Map</v>
      </c>
      <c r="F938" s="1" t="s">
        <v>265</v>
      </c>
      <c r="G938" s="1" t="s">
        <v>7239</v>
      </c>
      <c r="H938" s="1" t="s">
        <v>8261</v>
      </c>
      <c r="I938" s="1" t="s">
        <v>11215</v>
      </c>
      <c r="J938" s="17" t="s">
        <v>207</v>
      </c>
      <c r="K938" s="17" t="s">
        <v>208</v>
      </c>
      <c r="L938" s="17"/>
      <c r="M938" s="17" t="s">
        <v>207</v>
      </c>
      <c r="N938" s="52" t="s">
        <v>207</v>
      </c>
      <c r="O938" s="17" t="s">
        <v>270</v>
      </c>
      <c r="P938" s="17" t="s">
        <v>3395</v>
      </c>
      <c r="Q938" s="81" t="s">
        <v>11216</v>
      </c>
      <c r="R938" s="11">
        <v>26.181661999999999</v>
      </c>
      <c r="S938" s="11">
        <v>-81.285809</v>
      </c>
      <c r="T938" s="11" t="s">
        <v>11217</v>
      </c>
      <c r="U938" s="11" t="s">
        <v>11218</v>
      </c>
      <c r="V938" s="17" t="s">
        <v>11219</v>
      </c>
      <c r="W938" s="17" t="s">
        <v>110</v>
      </c>
      <c r="X938" s="70"/>
      <c r="Y938" s="70"/>
      <c r="Z938" s="13">
        <v>28283</v>
      </c>
      <c r="AA938" s="13"/>
      <c r="AB938" s="13"/>
      <c r="AC938" s="13"/>
      <c r="AD938" s="86"/>
      <c r="AE938" s="70"/>
      <c r="AF938" s="70" t="s">
        <v>207</v>
      </c>
      <c r="AG938" s="14" t="s">
        <v>207</v>
      </c>
      <c r="AH938" s="14" t="s">
        <v>207</v>
      </c>
      <c r="AI938" s="70" t="s">
        <v>207</v>
      </c>
      <c r="AJ938" s="14" t="s">
        <v>207</v>
      </c>
      <c r="AK938" s="14" t="s">
        <v>207</v>
      </c>
      <c r="AL938" s="14" t="s">
        <v>207</v>
      </c>
      <c r="AM938" s="14" t="s">
        <v>207</v>
      </c>
      <c r="AN938" s="14" t="s">
        <v>207</v>
      </c>
      <c r="AO938" s="14" t="s">
        <v>207</v>
      </c>
      <c r="AP938" s="14" t="s">
        <v>207</v>
      </c>
      <c r="AQ938" s="14" t="s">
        <v>207</v>
      </c>
      <c r="AR938" s="14" t="s">
        <v>207</v>
      </c>
      <c r="AS938" s="14" t="s">
        <v>207</v>
      </c>
      <c r="AT938" s="14" t="s">
        <v>207</v>
      </c>
      <c r="AU938" s="30" t="s">
        <v>11220</v>
      </c>
      <c r="AV938" s="14" t="s">
        <v>207</v>
      </c>
      <c r="AW938" s="74"/>
      <c r="AX938" s="1"/>
      <c r="AY938" s="17" t="s">
        <v>101</v>
      </c>
    </row>
    <row r="939" spans="1:51" ht="12.75" customHeight="1" x14ac:dyDescent="0.25">
      <c r="A939" s="5">
        <v>902</v>
      </c>
      <c r="B939" s="9">
        <v>902</v>
      </c>
      <c r="C939" s="9" t="s">
        <v>11221</v>
      </c>
      <c r="D939" s="57" t="str">
        <f>HYPERLINK("http://prodenv.dep.state.fl.us/DepNexus/public/electronic-documents/OG_902/facility!search","OG_902_Docs")</f>
        <v>OG_902_Docs</v>
      </c>
      <c r="E939" s="57" t="str">
        <f>HYPERLINK("https://ca.dep.state.fl.us/mapdirect/?focus=oilandgas&amp;zoom=query&amp;querytype=oilandgas&amp;queryvalues=OG_902","OG_902_Map")</f>
        <v>OG_902_Map</v>
      </c>
      <c r="F939" s="1" t="s">
        <v>265</v>
      </c>
      <c r="G939" s="1" t="s">
        <v>7239</v>
      </c>
      <c r="H939" s="1" t="s">
        <v>8261</v>
      </c>
      <c r="I939" s="1" t="s">
        <v>11222</v>
      </c>
      <c r="J939" s="17" t="s">
        <v>268</v>
      </c>
      <c r="K939" s="17" t="s">
        <v>3937</v>
      </c>
      <c r="L939" s="17"/>
      <c r="M939" s="17"/>
      <c r="N939" s="52" t="s">
        <v>4735</v>
      </c>
      <c r="O939" s="17" t="s">
        <v>270</v>
      </c>
      <c r="P939" s="17" t="s">
        <v>86</v>
      </c>
      <c r="Q939" s="81" t="s">
        <v>11223</v>
      </c>
      <c r="R939" s="11">
        <v>26.263521000000001</v>
      </c>
      <c r="S939" s="11">
        <v>-81.304723999999993</v>
      </c>
      <c r="T939" s="11" t="s">
        <v>11224</v>
      </c>
      <c r="U939" s="11" t="s">
        <v>11225</v>
      </c>
      <c r="V939" s="17" t="s">
        <v>11226</v>
      </c>
      <c r="W939" s="17" t="s">
        <v>110</v>
      </c>
      <c r="X939" s="70">
        <v>42</v>
      </c>
      <c r="Y939" s="70">
        <v>20</v>
      </c>
      <c r="Z939" s="13">
        <v>28283</v>
      </c>
      <c r="AA939" s="13">
        <v>28356</v>
      </c>
      <c r="AB939" s="13">
        <v>28421</v>
      </c>
      <c r="AC939" s="13">
        <v>33524</v>
      </c>
      <c r="AD939" s="86">
        <v>11616</v>
      </c>
      <c r="AE939" s="86">
        <v>11616</v>
      </c>
      <c r="AF939" s="70" t="s">
        <v>11227</v>
      </c>
      <c r="AG939" s="17" t="s">
        <v>11228</v>
      </c>
      <c r="AH939" s="17" t="s">
        <v>11229</v>
      </c>
      <c r="AI939" s="70" t="s">
        <v>11230</v>
      </c>
      <c r="AJ939" s="17" t="s">
        <v>11231</v>
      </c>
      <c r="AK939" s="17" t="s">
        <v>95</v>
      </c>
      <c r="AL939" s="17" t="s">
        <v>11232</v>
      </c>
      <c r="AM939" s="17" t="s">
        <v>825</v>
      </c>
      <c r="AN939" s="17" t="s">
        <v>86</v>
      </c>
      <c r="AO939" s="17" t="s">
        <v>10847</v>
      </c>
      <c r="AP939" s="17" t="s">
        <v>6135</v>
      </c>
      <c r="AQ939" s="17" t="s">
        <v>11233</v>
      </c>
      <c r="AR939" s="17" t="s">
        <v>11234</v>
      </c>
      <c r="AS939" s="17" t="s">
        <v>11235</v>
      </c>
      <c r="AT939" s="17">
        <v>175</v>
      </c>
      <c r="AU939" s="30" t="s">
        <v>11236</v>
      </c>
      <c r="AV939" s="14">
        <v>13734</v>
      </c>
      <c r="AW939" s="74"/>
      <c r="AX939" s="1" t="s">
        <v>11237</v>
      </c>
      <c r="AY939" s="17" t="s">
        <v>101</v>
      </c>
    </row>
    <row r="940" spans="1:51" ht="12.75" customHeight="1" x14ac:dyDescent="0.25">
      <c r="A940" s="5">
        <v>903</v>
      </c>
      <c r="B940" s="9">
        <v>903</v>
      </c>
      <c r="C940" s="9" t="s">
        <v>11238</v>
      </c>
      <c r="D940" s="57" t="str">
        <f>HYPERLINK("http://prodenv.dep.state.fl.us/DepNexus/public/electronic-documents/OG_903/facility!search","OG_903_Docs")</f>
        <v>OG_903_Docs</v>
      </c>
      <c r="E940" s="57" t="str">
        <f>HYPERLINK("https://ca.dep.state.fl.us/mapdirect/?focus=oilandgas&amp;zoom=query&amp;querytype=oilandgas&amp;queryvalues=OG_903","OG_903_Map")</f>
        <v>OG_903_Map</v>
      </c>
      <c r="F940" s="1" t="s">
        <v>1752</v>
      </c>
      <c r="G940" s="1" t="s">
        <v>79</v>
      </c>
      <c r="H940" s="1" t="s">
        <v>10982</v>
      </c>
      <c r="I940" s="1" t="s">
        <v>11239</v>
      </c>
      <c r="J940" s="17" t="s">
        <v>82</v>
      </c>
      <c r="K940" s="17" t="s">
        <v>83</v>
      </c>
      <c r="L940" s="17"/>
      <c r="M940" s="17"/>
      <c r="N940" s="52" t="s">
        <v>6300</v>
      </c>
      <c r="O940" s="17" t="s">
        <v>270</v>
      </c>
      <c r="P940" s="17" t="s">
        <v>5157</v>
      </c>
      <c r="Q940" s="81" t="s">
        <v>11240</v>
      </c>
      <c r="R940" s="11">
        <v>26.277488000000002</v>
      </c>
      <c r="S940" s="11">
        <v>-80.907667000000004</v>
      </c>
      <c r="T940" s="11" t="s">
        <v>11241</v>
      </c>
      <c r="U940" s="11" t="s">
        <v>11242</v>
      </c>
      <c r="V940" s="17" t="s">
        <v>11243</v>
      </c>
      <c r="W940" s="17" t="s">
        <v>110</v>
      </c>
      <c r="X940" s="70">
        <v>30</v>
      </c>
      <c r="Y940" s="70">
        <v>14</v>
      </c>
      <c r="Z940" s="13">
        <v>28283</v>
      </c>
      <c r="AA940" s="13">
        <v>28435</v>
      </c>
      <c r="AB940" s="13"/>
      <c r="AC940" s="13">
        <v>28475</v>
      </c>
      <c r="AD940" s="86">
        <v>11638</v>
      </c>
      <c r="AE940" s="86">
        <v>11638</v>
      </c>
      <c r="AF940" s="70" t="s">
        <v>11244</v>
      </c>
      <c r="AG940" s="17" t="s">
        <v>11245</v>
      </c>
      <c r="AH940" s="17" t="s">
        <v>11246</v>
      </c>
      <c r="AI940" s="70" t="s">
        <v>86</v>
      </c>
      <c r="AJ940" s="17" t="s">
        <v>94</v>
      </c>
      <c r="AK940" s="17" t="s">
        <v>95</v>
      </c>
      <c r="AL940" s="17" t="s">
        <v>11247</v>
      </c>
      <c r="AM940" s="17" t="s">
        <v>95</v>
      </c>
      <c r="AN940" s="17" t="s">
        <v>86</v>
      </c>
      <c r="AO940" s="17" t="s">
        <v>98</v>
      </c>
      <c r="AP940" s="17" t="s">
        <v>98</v>
      </c>
      <c r="AQ940" s="17" t="s">
        <v>98</v>
      </c>
      <c r="AR940" s="17" t="s">
        <v>94</v>
      </c>
      <c r="AS940" s="17" t="s">
        <v>11248</v>
      </c>
      <c r="AT940" s="17">
        <v>175</v>
      </c>
      <c r="AU940" s="30" t="s">
        <v>11249</v>
      </c>
      <c r="AV940" s="14">
        <v>13795</v>
      </c>
      <c r="AW940" s="74"/>
      <c r="AX940" s="1"/>
      <c r="AY940" s="17" t="s">
        <v>101</v>
      </c>
    </row>
    <row r="941" spans="1:51" ht="15" customHeight="1" x14ac:dyDescent="0.25">
      <c r="A941" s="5">
        <v>904</v>
      </c>
      <c r="B941" s="9">
        <v>904</v>
      </c>
      <c r="C941" s="9" t="s">
        <v>11250</v>
      </c>
      <c r="D941" s="57" t="str">
        <f>HYPERLINK("http://prodenv.dep.state.fl.us/DepNexus/public/electronic-documents/OG_904/facility!search","OG_904_Docs")</f>
        <v>OG_904_Docs</v>
      </c>
      <c r="E941" s="57" t="str">
        <f>HYPERLINK("https://ca.dep.state.fl.us/mapdirect/?focus=oilandgas&amp;zoom=query&amp;querytype=oilandgas&amp;queryvalues=OG_904","OG_904_Map")</f>
        <v>OG_904_Map</v>
      </c>
      <c r="F941" s="1" t="s">
        <v>1752</v>
      </c>
      <c r="G941" s="1" t="s">
        <v>11251</v>
      </c>
      <c r="H941" s="1" t="s">
        <v>11252</v>
      </c>
      <c r="I941" s="1" t="s">
        <v>11253</v>
      </c>
      <c r="J941" s="68" t="s">
        <v>3646</v>
      </c>
      <c r="K941" s="17" t="s">
        <v>412</v>
      </c>
      <c r="L941" s="17"/>
      <c r="M941" s="17" t="s">
        <v>101</v>
      </c>
      <c r="N941" s="52" t="s">
        <v>11254</v>
      </c>
      <c r="O941" s="17" t="s">
        <v>86</v>
      </c>
      <c r="P941" s="17" t="s">
        <v>86</v>
      </c>
      <c r="Q941" s="81" t="s">
        <v>11255</v>
      </c>
      <c r="R941" s="11">
        <v>26.531962</v>
      </c>
      <c r="S941" s="11">
        <v>-81.503364000000005</v>
      </c>
      <c r="T941" s="11" t="s">
        <v>11256</v>
      </c>
      <c r="U941" s="11" t="s">
        <v>11257</v>
      </c>
      <c r="V941" s="17" t="s">
        <v>11258</v>
      </c>
      <c r="W941" s="17" t="s">
        <v>110</v>
      </c>
      <c r="X941" s="70">
        <v>58</v>
      </c>
      <c r="Y941" s="70">
        <v>34</v>
      </c>
      <c r="Z941" s="13">
        <v>28297</v>
      </c>
      <c r="AA941" s="13">
        <v>28346</v>
      </c>
      <c r="AB941" s="13">
        <v>28411</v>
      </c>
      <c r="AC941" s="13">
        <v>43599</v>
      </c>
      <c r="AD941" s="86">
        <v>11686</v>
      </c>
      <c r="AE941" s="86">
        <v>11686</v>
      </c>
      <c r="AF941" s="70" t="s">
        <v>11259</v>
      </c>
      <c r="AG941" s="17" t="s">
        <v>11260</v>
      </c>
      <c r="AH941" s="17" t="s">
        <v>11261</v>
      </c>
      <c r="AI941" s="70" t="s">
        <v>11262</v>
      </c>
      <c r="AJ941" s="17" t="s">
        <v>11263</v>
      </c>
      <c r="AK941" s="17" t="s">
        <v>95</v>
      </c>
      <c r="AL941" s="17" t="s">
        <v>11264</v>
      </c>
      <c r="AM941" s="17" t="s">
        <v>825</v>
      </c>
      <c r="AN941" s="17" t="s">
        <v>95</v>
      </c>
      <c r="AO941" s="17" t="s">
        <v>11265</v>
      </c>
      <c r="AP941" s="17" t="s">
        <v>11266</v>
      </c>
      <c r="AQ941" s="17" t="s">
        <v>11267</v>
      </c>
      <c r="AR941" s="17" t="s">
        <v>11268</v>
      </c>
      <c r="AS941" s="17" t="s">
        <v>11269</v>
      </c>
      <c r="AT941" s="17">
        <v>165</v>
      </c>
      <c r="AU941" s="30" t="s">
        <v>11270</v>
      </c>
      <c r="AV941" s="14">
        <v>13736</v>
      </c>
      <c r="AW941" s="74">
        <v>304674</v>
      </c>
      <c r="AX941" s="39" t="s">
        <v>11271</v>
      </c>
      <c r="AY941" s="17" t="s">
        <v>101</v>
      </c>
    </row>
    <row r="942" spans="1:51" ht="12.75" customHeight="1" x14ac:dyDescent="0.25">
      <c r="A942" s="5">
        <v>904.1</v>
      </c>
      <c r="B942" s="9" t="s">
        <v>11272</v>
      </c>
      <c r="C942" s="9" t="s">
        <v>11250</v>
      </c>
      <c r="D942" s="57" t="str">
        <f>HYPERLINK("http://prodenv.dep.state.fl.us/DepNexus/public/electronic-documents/OG_904/facility!search","OG_904_Docs")</f>
        <v>OG_904_Docs</v>
      </c>
      <c r="E942" s="57" t="str">
        <f>HYPERLINK("https://ca.dep.state.fl.us/mapdirect/?focus=oilandgas&amp;zoom=query&amp;querytype=oilandgas&amp;queryvalues=OG_904","OG_904_Map")</f>
        <v>OG_904_Map</v>
      </c>
      <c r="F942" s="1" t="s">
        <v>1752</v>
      </c>
      <c r="G942" s="1" t="s">
        <v>11251</v>
      </c>
      <c r="H942" s="1" t="s">
        <v>11252</v>
      </c>
      <c r="I942" s="1" t="s">
        <v>11273</v>
      </c>
      <c r="J942" s="17" t="s">
        <v>11274</v>
      </c>
      <c r="K942" s="17"/>
      <c r="L942" s="17"/>
      <c r="M942" s="17"/>
      <c r="N942" s="52"/>
      <c r="O942" s="17" t="s">
        <v>86</v>
      </c>
      <c r="P942" s="17" t="s">
        <v>86</v>
      </c>
      <c r="Q942" s="81" t="s">
        <v>11255</v>
      </c>
      <c r="R942" s="11">
        <v>26.531948</v>
      </c>
      <c r="S942" s="11">
        <v>-81.503354999999999</v>
      </c>
      <c r="T942" s="11" t="s">
        <v>11275</v>
      </c>
      <c r="U942" s="11" t="s">
        <v>11276</v>
      </c>
      <c r="V942" s="17" t="s">
        <v>11258</v>
      </c>
      <c r="W942" s="17"/>
      <c r="X942" s="70"/>
      <c r="Y942" s="70">
        <v>34</v>
      </c>
      <c r="Z942" s="13">
        <v>43200</v>
      </c>
      <c r="AA942" s="13"/>
      <c r="AB942" s="13"/>
      <c r="AC942" s="13"/>
      <c r="AD942" s="86"/>
      <c r="AE942" s="70"/>
      <c r="AF942" s="70"/>
      <c r="AG942" s="14"/>
      <c r="AH942" s="14"/>
      <c r="AI942" s="70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30" t="s">
        <v>11277</v>
      </c>
      <c r="AV942" s="14"/>
      <c r="AW942" s="74">
        <v>304674</v>
      </c>
      <c r="AX942" s="1"/>
      <c r="AY942" s="17" t="s">
        <v>101</v>
      </c>
    </row>
    <row r="943" spans="1:51" ht="15" customHeight="1" x14ac:dyDescent="0.25">
      <c r="A943" s="5">
        <v>904.2</v>
      </c>
      <c r="B943" s="9" t="s">
        <v>11278</v>
      </c>
      <c r="C943" s="9" t="s">
        <v>11250</v>
      </c>
      <c r="D943" s="57" t="str">
        <f>HYPERLINK("http://prodenv.dep.state.fl.us/DepNexus/public/electronic-documents/OG_904/facility!search","OG_904_Docs")</f>
        <v>OG_904_Docs</v>
      </c>
      <c r="E943" s="57" t="str">
        <f>HYPERLINK("https://ca.dep.state.fl.us/mapdirect/?focus=oilandgas&amp;zoom=query&amp;querytype=oilandgas&amp;queryvalues=OG_904","OG_904_Map")</f>
        <v>OG_904_Map</v>
      </c>
      <c r="F943" s="1" t="s">
        <v>1752</v>
      </c>
      <c r="G943" s="1" t="s">
        <v>11251</v>
      </c>
      <c r="H943" s="1" t="s">
        <v>11252</v>
      </c>
      <c r="I943" s="1" t="s">
        <v>11279</v>
      </c>
      <c r="J943" s="17" t="s">
        <v>82</v>
      </c>
      <c r="K943" s="17" t="s">
        <v>83</v>
      </c>
      <c r="L943" s="17"/>
      <c r="M943" s="17"/>
      <c r="N943" s="52"/>
      <c r="O943" s="17" t="s">
        <v>86</v>
      </c>
      <c r="P943" s="17" t="s">
        <v>86</v>
      </c>
      <c r="Q943" s="81" t="s">
        <v>11255</v>
      </c>
      <c r="R943" s="11">
        <v>26.532084999999999</v>
      </c>
      <c r="S943" s="11">
        <v>-81.503354999999999</v>
      </c>
      <c r="T943" s="11" t="s">
        <v>11280</v>
      </c>
      <c r="U943" s="11" t="s">
        <v>11281</v>
      </c>
      <c r="V943" s="17" t="s">
        <v>11282</v>
      </c>
      <c r="W943" s="17" t="s">
        <v>11283</v>
      </c>
      <c r="X943" s="70"/>
      <c r="Y943" s="70">
        <v>34</v>
      </c>
      <c r="Z943" s="13">
        <v>43686</v>
      </c>
      <c r="AA943" s="13">
        <v>43642</v>
      </c>
      <c r="AB943" s="13">
        <v>43746</v>
      </c>
      <c r="AC943" s="13">
        <v>43748</v>
      </c>
      <c r="AD943" s="86">
        <v>11663</v>
      </c>
      <c r="AE943" s="70">
        <v>11753</v>
      </c>
      <c r="AF943" s="70" t="s">
        <v>11284</v>
      </c>
      <c r="AG943" s="17" t="s">
        <v>11285</v>
      </c>
      <c r="AH943" s="17" t="s">
        <v>11286</v>
      </c>
      <c r="AI943" s="70" t="s">
        <v>94</v>
      </c>
      <c r="AJ943" s="14" t="s">
        <v>94</v>
      </c>
      <c r="AK943" s="14"/>
      <c r="AL943" s="14"/>
      <c r="AM943" s="14"/>
      <c r="AN943" s="14" t="s">
        <v>98</v>
      </c>
      <c r="AO943" s="14" t="s">
        <v>98</v>
      </c>
      <c r="AP943" s="14" t="s">
        <v>98</v>
      </c>
      <c r="AQ943" s="14" t="s">
        <v>98</v>
      </c>
      <c r="AR943" s="14" t="s">
        <v>9550</v>
      </c>
      <c r="AS943" s="14" t="s">
        <v>11287</v>
      </c>
      <c r="AT943" s="14"/>
      <c r="AU943" s="30" t="s">
        <v>11288</v>
      </c>
      <c r="AV943" s="14"/>
      <c r="AW943" s="74">
        <v>304674</v>
      </c>
      <c r="AX943" s="1"/>
      <c r="AY943" s="17" t="s">
        <v>101</v>
      </c>
    </row>
    <row r="944" spans="1:51" ht="12.75" customHeight="1" x14ac:dyDescent="0.25">
      <c r="A944" s="5">
        <v>904.3</v>
      </c>
      <c r="B944" s="9" t="s">
        <v>11289</v>
      </c>
      <c r="C944" s="9" t="s">
        <v>11250</v>
      </c>
      <c r="D944" s="57" t="str">
        <f>HYPERLINK("http://prodenv.dep.state.fl.us/DepNexus/public/electronic-documents/OG_904/facility!search","OG_904_Docs")</f>
        <v>OG_904_Docs</v>
      </c>
      <c r="E944" s="57" t="str">
        <f>HYPERLINK("https://ca.dep.state.fl.us/mapdirect/?focus=oilandgas&amp;zoom=query&amp;querytype=oilandgas&amp;queryvalues=OG_904","OG_904_Map")</f>
        <v>OG_904_Map</v>
      </c>
      <c r="F944" s="1" t="s">
        <v>1752</v>
      </c>
      <c r="G944" s="1" t="s">
        <v>11251</v>
      </c>
      <c r="H944" s="1" t="s">
        <v>11252</v>
      </c>
      <c r="I944" s="1" t="s">
        <v>11290</v>
      </c>
      <c r="J944" s="17" t="s">
        <v>3646</v>
      </c>
      <c r="K944" s="17" t="s">
        <v>412</v>
      </c>
      <c r="L944" s="17"/>
      <c r="M944" s="17"/>
      <c r="N944" s="52"/>
      <c r="O944" s="17" t="s">
        <v>86</v>
      </c>
      <c r="P944" s="17" t="s">
        <v>86</v>
      </c>
      <c r="Q944" s="81" t="s">
        <v>11255</v>
      </c>
      <c r="R944" s="11">
        <v>26.531948</v>
      </c>
      <c r="S944" s="11">
        <v>-81.503354999999999</v>
      </c>
      <c r="T944" s="11" t="s">
        <v>11291</v>
      </c>
      <c r="U944" s="11" t="s">
        <v>11281</v>
      </c>
      <c r="V944" s="17" t="s">
        <v>11282</v>
      </c>
      <c r="W944" s="17" t="s">
        <v>11292</v>
      </c>
      <c r="X944" s="70"/>
      <c r="Y944" s="70">
        <v>34</v>
      </c>
      <c r="Z944" s="13">
        <v>43686</v>
      </c>
      <c r="AA944" s="13">
        <v>43749</v>
      </c>
      <c r="AB944" s="13"/>
      <c r="AC944" s="13"/>
      <c r="AD944" s="86"/>
      <c r="AE944" s="70"/>
      <c r="AF944" s="70" t="s">
        <v>11284</v>
      </c>
      <c r="AG944" s="17" t="s">
        <v>11285</v>
      </c>
      <c r="AH944" s="17" t="s">
        <v>11286</v>
      </c>
      <c r="AI944" s="70" t="s">
        <v>11293</v>
      </c>
      <c r="AJ944" s="17" t="s">
        <v>11294</v>
      </c>
      <c r="AK944" s="14"/>
      <c r="AL944" s="14"/>
      <c r="AM944" s="14"/>
      <c r="AN944" s="14"/>
      <c r="AO944" s="14"/>
      <c r="AP944" s="14"/>
      <c r="AQ944" s="14"/>
      <c r="AR944" s="14" t="s">
        <v>11295</v>
      </c>
      <c r="AS944" s="14"/>
      <c r="AT944" s="14"/>
      <c r="AU944" s="30" t="s">
        <v>11296</v>
      </c>
      <c r="AV944" s="14"/>
      <c r="AW944" s="74"/>
      <c r="AX944" s="1" t="s">
        <v>11297</v>
      </c>
      <c r="AY944" s="17" t="s">
        <v>101</v>
      </c>
    </row>
    <row r="945" spans="1:51" ht="12.75" customHeight="1" x14ac:dyDescent="0.25">
      <c r="A945" s="5">
        <v>905</v>
      </c>
      <c r="B945" s="9">
        <v>905</v>
      </c>
      <c r="C945" s="9" t="s">
        <v>11298</v>
      </c>
      <c r="D945" s="57" t="str">
        <f>HYPERLINK("http://prodenv.dep.state.fl.us/DepNexus/public/electronic-documents/OG_905/facility!search","OG_905_Docs")</f>
        <v>OG_905_Docs</v>
      </c>
      <c r="E945" s="57" t="str">
        <f>HYPERLINK("https://ca.dep.state.fl.us/mapdirect/?focus=oilandgas&amp;zoom=query&amp;querytype=oilandgas&amp;queryvalues=OG_905","OG_905_Map")</f>
        <v>OG_905_Map</v>
      </c>
      <c r="F945" s="1" t="s">
        <v>265</v>
      </c>
      <c r="G945" s="1" t="s">
        <v>7239</v>
      </c>
      <c r="H945" s="1" t="s">
        <v>8261</v>
      </c>
      <c r="I945" s="1" t="s">
        <v>11299</v>
      </c>
      <c r="J945" s="17" t="s">
        <v>207</v>
      </c>
      <c r="K945" s="17" t="s">
        <v>208</v>
      </c>
      <c r="L945" s="17"/>
      <c r="M945" s="17" t="s">
        <v>207</v>
      </c>
      <c r="N945" s="52" t="s">
        <v>207</v>
      </c>
      <c r="O945" s="17" t="s">
        <v>270</v>
      </c>
      <c r="P945" s="17" t="s">
        <v>3395</v>
      </c>
      <c r="Q945" s="81" t="s">
        <v>11300</v>
      </c>
      <c r="R945" s="11">
        <v>26.201060999999999</v>
      </c>
      <c r="S945" s="11">
        <v>-81.279004999999998</v>
      </c>
      <c r="T945" s="11" t="s">
        <v>11301</v>
      </c>
      <c r="U945" s="11" t="s">
        <v>11302</v>
      </c>
      <c r="V945" s="17" t="s">
        <v>11303</v>
      </c>
      <c r="W945" s="17" t="s">
        <v>110</v>
      </c>
      <c r="X945" s="70"/>
      <c r="Y945" s="70"/>
      <c r="Z945" s="13">
        <v>28297</v>
      </c>
      <c r="AA945" s="13"/>
      <c r="AB945" s="13"/>
      <c r="AC945" s="13"/>
      <c r="AD945" s="86"/>
      <c r="AE945" s="70"/>
      <c r="AF945" s="70" t="s">
        <v>207</v>
      </c>
      <c r="AG945" s="14" t="s">
        <v>207</v>
      </c>
      <c r="AH945" s="14" t="s">
        <v>207</v>
      </c>
      <c r="AI945" s="70" t="s">
        <v>207</v>
      </c>
      <c r="AJ945" s="14" t="s">
        <v>207</v>
      </c>
      <c r="AK945" s="14" t="s">
        <v>207</v>
      </c>
      <c r="AL945" s="14" t="s">
        <v>207</v>
      </c>
      <c r="AM945" s="14" t="s">
        <v>207</v>
      </c>
      <c r="AN945" s="14" t="s">
        <v>207</v>
      </c>
      <c r="AO945" s="14" t="s">
        <v>207</v>
      </c>
      <c r="AP945" s="14" t="s">
        <v>207</v>
      </c>
      <c r="AQ945" s="14" t="s">
        <v>207</v>
      </c>
      <c r="AR945" s="14" t="s">
        <v>207</v>
      </c>
      <c r="AS945" s="14" t="s">
        <v>207</v>
      </c>
      <c r="AT945" s="14" t="s">
        <v>207</v>
      </c>
      <c r="AU945" s="30" t="s">
        <v>11304</v>
      </c>
      <c r="AV945" s="14" t="s">
        <v>207</v>
      </c>
      <c r="AW945" s="74"/>
      <c r="AX945" s="1"/>
      <c r="AY945" s="17" t="s">
        <v>101</v>
      </c>
    </row>
    <row r="946" spans="1:51" ht="12.75" customHeight="1" x14ac:dyDescent="0.25">
      <c r="A946" s="5">
        <v>906</v>
      </c>
      <c r="B946" s="9">
        <v>906</v>
      </c>
      <c r="C946" s="9" t="s">
        <v>11305</v>
      </c>
      <c r="D946" s="57" t="str">
        <f>HYPERLINK("http://prodenv.dep.state.fl.us/DepNexus/public/electronic-documents/OG_906/facility!search","OG_906_Docs")</f>
        <v>OG_906_Docs</v>
      </c>
      <c r="E946" s="57" t="str">
        <f>HYPERLINK("https://ca.dep.state.fl.us/mapdirect/?focus=oilandgas&amp;zoom=query&amp;querytype=oilandgas&amp;queryvalues=OG_906","OG_906_Map")</f>
        <v>OG_906_Map</v>
      </c>
      <c r="F946" s="1" t="s">
        <v>265</v>
      </c>
      <c r="G946" s="1" t="s">
        <v>7239</v>
      </c>
      <c r="H946" s="1" t="s">
        <v>8261</v>
      </c>
      <c r="I946" s="1" t="s">
        <v>11306</v>
      </c>
      <c r="J946" s="17" t="s">
        <v>207</v>
      </c>
      <c r="K946" s="17" t="s">
        <v>208</v>
      </c>
      <c r="L946" s="17"/>
      <c r="M946" s="17" t="s">
        <v>207</v>
      </c>
      <c r="N946" s="52" t="s">
        <v>207</v>
      </c>
      <c r="O946" s="17" t="s">
        <v>270</v>
      </c>
      <c r="P946" s="17" t="s">
        <v>3395</v>
      </c>
      <c r="Q946" s="81" t="s">
        <v>11307</v>
      </c>
      <c r="R946" s="11">
        <v>26.187353000000002</v>
      </c>
      <c r="S946" s="11">
        <v>-81.278030999999999</v>
      </c>
      <c r="T946" s="11" t="s">
        <v>11308</v>
      </c>
      <c r="U946" s="11" t="s">
        <v>11309</v>
      </c>
      <c r="V946" s="17" t="s">
        <v>11310</v>
      </c>
      <c r="W946" s="17" t="s">
        <v>110</v>
      </c>
      <c r="X946" s="70"/>
      <c r="Y946" s="70"/>
      <c r="Z946" s="13">
        <v>28297</v>
      </c>
      <c r="AA946" s="13"/>
      <c r="AB946" s="13"/>
      <c r="AC946" s="13"/>
      <c r="AD946" s="86"/>
      <c r="AE946" s="70"/>
      <c r="AF946" s="70" t="s">
        <v>207</v>
      </c>
      <c r="AG946" s="14" t="s">
        <v>207</v>
      </c>
      <c r="AH946" s="14" t="s">
        <v>207</v>
      </c>
      <c r="AI946" s="70" t="s">
        <v>207</v>
      </c>
      <c r="AJ946" s="14" t="s">
        <v>207</v>
      </c>
      <c r="AK946" s="14" t="s">
        <v>207</v>
      </c>
      <c r="AL946" s="14" t="s">
        <v>207</v>
      </c>
      <c r="AM946" s="14" t="s">
        <v>207</v>
      </c>
      <c r="AN946" s="14" t="s">
        <v>207</v>
      </c>
      <c r="AO946" s="14" t="s">
        <v>207</v>
      </c>
      <c r="AP946" s="14" t="s">
        <v>207</v>
      </c>
      <c r="AQ946" s="14" t="s">
        <v>207</v>
      </c>
      <c r="AR946" s="14" t="s">
        <v>207</v>
      </c>
      <c r="AS946" s="14" t="s">
        <v>207</v>
      </c>
      <c r="AT946" s="14" t="s">
        <v>207</v>
      </c>
      <c r="AU946" s="30" t="s">
        <v>11311</v>
      </c>
      <c r="AV946" s="14" t="s">
        <v>207</v>
      </c>
      <c r="AW946" s="74"/>
      <c r="AX946" s="1"/>
      <c r="AY946" s="17" t="s">
        <v>101</v>
      </c>
    </row>
    <row r="947" spans="1:51" ht="12.75" customHeight="1" x14ac:dyDescent="0.25">
      <c r="A947" s="5">
        <v>907</v>
      </c>
      <c r="B947" s="9">
        <v>907</v>
      </c>
      <c r="C947" s="9" t="s">
        <v>11312</v>
      </c>
      <c r="D947" s="57" t="str">
        <f>HYPERLINK("http://prodenv.dep.state.fl.us/DepNexus/public/electronic-documents/OG_907/facility!search","OG_907_Docs")</f>
        <v>OG_907_Docs</v>
      </c>
      <c r="E947" s="57" t="str">
        <f>HYPERLINK("https://ca.dep.state.fl.us/mapdirect/?focus=oilandgas&amp;zoom=query&amp;querytype=oilandgas&amp;queryvalues=OG_907","OG_907_Map")</f>
        <v>OG_907_Map</v>
      </c>
      <c r="F947" s="1" t="s">
        <v>265</v>
      </c>
      <c r="G947" s="1" t="s">
        <v>7239</v>
      </c>
      <c r="H947" s="1" t="s">
        <v>8318</v>
      </c>
      <c r="I947" s="1" t="s">
        <v>11313</v>
      </c>
      <c r="J947" s="17" t="s">
        <v>268</v>
      </c>
      <c r="K947" s="17" t="s">
        <v>5525</v>
      </c>
      <c r="L947" s="17"/>
      <c r="M947" s="17"/>
      <c r="N947" s="52" t="s">
        <v>9584</v>
      </c>
      <c r="O947" s="17" t="s">
        <v>270</v>
      </c>
      <c r="P947" s="17" t="s">
        <v>86</v>
      </c>
      <c r="Q947" s="81" t="s">
        <v>11314</v>
      </c>
      <c r="R947" s="11">
        <v>26.263195</v>
      </c>
      <c r="S947" s="11">
        <v>-81.312628000000004</v>
      </c>
      <c r="T947" s="11" t="s">
        <v>11315</v>
      </c>
      <c r="U947" s="11" t="s">
        <v>11316</v>
      </c>
      <c r="V947" s="17" t="s">
        <v>11317</v>
      </c>
      <c r="W947" s="17" t="s">
        <v>110</v>
      </c>
      <c r="X947" s="70">
        <v>45</v>
      </c>
      <c r="Y947" s="70">
        <v>19</v>
      </c>
      <c r="Z947" s="13">
        <v>28297</v>
      </c>
      <c r="AA947" s="13">
        <v>28438</v>
      </c>
      <c r="AB947" s="13">
        <v>28540</v>
      </c>
      <c r="AC947" s="13">
        <v>37264</v>
      </c>
      <c r="AD947" s="86">
        <v>11619</v>
      </c>
      <c r="AE947" s="86">
        <v>11619</v>
      </c>
      <c r="AF947" s="70" t="s">
        <v>11318</v>
      </c>
      <c r="AG947" s="17" t="s">
        <v>11319</v>
      </c>
      <c r="AH947" s="17" t="s">
        <v>11320</v>
      </c>
      <c r="AI947" s="70" t="s">
        <v>11321</v>
      </c>
      <c r="AJ947" s="17" t="s">
        <v>11322</v>
      </c>
      <c r="AK947" s="17" t="s">
        <v>95</v>
      </c>
      <c r="AL947" s="17" t="s">
        <v>11323</v>
      </c>
      <c r="AM947" s="17" t="s">
        <v>825</v>
      </c>
      <c r="AN947" s="17" t="s">
        <v>825</v>
      </c>
      <c r="AO947" s="17" t="s">
        <v>11324</v>
      </c>
      <c r="AP947" s="17" t="s">
        <v>6135</v>
      </c>
      <c r="AQ947" s="17" t="s">
        <v>11325</v>
      </c>
      <c r="AR947" s="17" t="s">
        <v>11326</v>
      </c>
      <c r="AS947" s="17" t="s">
        <v>11327</v>
      </c>
      <c r="AT947" s="17">
        <v>168</v>
      </c>
      <c r="AU947" s="30" t="s">
        <v>11328</v>
      </c>
      <c r="AV947" s="14">
        <v>13770</v>
      </c>
      <c r="AW947" s="74"/>
      <c r="AX947" s="1"/>
      <c r="AY947" s="17" t="s">
        <v>101</v>
      </c>
    </row>
    <row r="948" spans="1:51" ht="12.75" customHeight="1" x14ac:dyDescent="0.25">
      <c r="A948" s="5">
        <v>908</v>
      </c>
      <c r="B948" s="9">
        <v>908</v>
      </c>
      <c r="C948" s="9" t="s">
        <v>11329</v>
      </c>
      <c r="D948" s="57" t="str">
        <f>HYPERLINK("http://prodenv.dep.state.fl.us/DepNexus/public/electronic-documents/OG_908/facility!search","OG_908_Docs")</f>
        <v>OG_908_Docs</v>
      </c>
      <c r="E948" s="57" t="str">
        <f>HYPERLINK("https://ca.dep.state.fl.us/mapdirect/?focus=oilandgas&amp;zoom=query&amp;querytype=oilandgas&amp;queryvalues=OG_908","OG_908_Map")</f>
        <v>OG_908_Map</v>
      </c>
      <c r="F948" s="1" t="s">
        <v>1752</v>
      </c>
      <c r="G948" s="1" t="s">
        <v>79</v>
      </c>
      <c r="H948" s="1" t="s">
        <v>10982</v>
      </c>
      <c r="I948" s="1" t="s">
        <v>11330</v>
      </c>
      <c r="J948" s="17" t="s">
        <v>207</v>
      </c>
      <c r="K948" s="17" t="s">
        <v>208</v>
      </c>
      <c r="L948" s="17"/>
      <c r="M948" s="17" t="s">
        <v>207</v>
      </c>
      <c r="N948" s="52" t="s">
        <v>207</v>
      </c>
      <c r="O948" s="17" t="s">
        <v>270</v>
      </c>
      <c r="P948" s="17" t="s">
        <v>5157</v>
      </c>
      <c r="Q948" s="81" t="s">
        <v>11331</v>
      </c>
      <c r="R948" s="11">
        <v>26.276774</v>
      </c>
      <c r="S948" s="11">
        <v>-80.883719999999997</v>
      </c>
      <c r="T948" s="11" t="s">
        <v>11332</v>
      </c>
      <c r="U948" s="11" t="s">
        <v>11333</v>
      </c>
      <c r="V948" s="17" t="s">
        <v>11334</v>
      </c>
      <c r="W948" s="17" t="s">
        <v>110</v>
      </c>
      <c r="X948" s="70"/>
      <c r="Y948" s="70"/>
      <c r="Z948" s="13">
        <v>28312</v>
      </c>
      <c r="AA948" s="13"/>
      <c r="AB948" s="13"/>
      <c r="AC948" s="13"/>
      <c r="AD948" s="86"/>
      <c r="AE948" s="70"/>
      <c r="AF948" s="70" t="s">
        <v>207</v>
      </c>
      <c r="AG948" s="14" t="s">
        <v>207</v>
      </c>
      <c r="AH948" s="14" t="s">
        <v>207</v>
      </c>
      <c r="AI948" s="70" t="s">
        <v>207</v>
      </c>
      <c r="AJ948" s="14" t="s">
        <v>207</v>
      </c>
      <c r="AK948" s="14" t="s">
        <v>207</v>
      </c>
      <c r="AL948" s="14" t="s">
        <v>207</v>
      </c>
      <c r="AM948" s="14" t="s">
        <v>207</v>
      </c>
      <c r="AN948" s="14" t="s">
        <v>207</v>
      </c>
      <c r="AO948" s="14" t="s">
        <v>207</v>
      </c>
      <c r="AP948" s="14" t="s">
        <v>207</v>
      </c>
      <c r="AQ948" s="14" t="s">
        <v>207</v>
      </c>
      <c r="AR948" s="14" t="s">
        <v>207</v>
      </c>
      <c r="AS948" s="14" t="s">
        <v>207</v>
      </c>
      <c r="AT948" s="14" t="s">
        <v>207</v>
      </c>
      <c r="AU948" s="30" t="s">
        <v>11335</v>
      </c>
      <c r="AV948" s="14" t="s">
        <v>207</v>
      </c>
      <c r="AW948" s="74"/>
      <c r="AX948" s="1"/>
      <c r="AY948" s="17" t="s">
        <v>101</v>
      </c>
    </row>
    <row r="949" spans="1:51" ht="15" customHeight="1" x14ac:dyDescent="0.25">
      <c r="A949" s="5">
        <v>909</v>
      </c>
      <c r="B949" s="9">
        <v>909</v>
      </c>
      <c r="C949" s="9" t="s">
        <v>11336</v>
      </c>
      <c r="D949" s="57" t="str">
        <f>HYPERLINK("http://prodenv.dep.state.fl.us/DepNexus/public/electronic-documents/OG_909/facility!search","OG_909_Docs")</f>
        <v>OG_909_Docs</v>
      </c>
      <c r="E949" s="57" t="str">
        <f>HYPERLINK("https://ca.dep.state.fl.us/mapdirect/?focus=oilandgas&amp;zoom=query&amp;querytype=oilandgas&amp;queryvalues=OG_909","OG_909_Map")</f>
        <v>OG_909_Map</v>
      </c>
      <c r="F949" s="1" t="s">
        <v>1752</v>
      </c>
      <c r="G949" s="1" t="s">
        <v>79</v>
      </c>
      <c r="H949" s="1" t="s">
        <v>10982</v>
      </c>
      <c r="I949" s="1" t="s">
        <v>11337</v>
      </c>
      <c r="J949" s="17" t="s">
        <v>207</v>
      </c>
      <c r="K949" s="17" t="s">
        <v>208</v>
      </c>
      <c r="L949" s="17"/>
      <c r="M949" s="17" t="s">
        <v>207</v>
      </c>
      <c r="N949" s="52" t="s">
        <v>207</v>
      </c>
      <c r="O949" s="17" t="s">
        <v>270</v>
      </c>
      <c r="P949" s="17" t="s">
        <v>5157</v>
      </c>
      <c r="Q949" s="81" t="s">
        <v>11338</v>
      </c>
      <c r="R949" s="11">
        <v>26.283213</v>
      </c>
      <c r="S949" s="11">
        <v>-80.931937000000005</v>
      </c>
      <c r="T949" s="11" t="s">
        <v>11339</v>
      </c>
      <c r="U949" s="11" t="s">
        <v>11340</v>
      </c>
      <c r="V949" s="17" t="s">
        <v>11341</v>
      </c>
      <c r="W949" s="17" t="s">
        <v>110</v>
      </c>
      <c r="X949" s="70"/>
      <c r="Y949" s="70"/>
      <c r="Z949" s="13">
        <v>28312</v>
      </c>
      <c r="AA949" s="13"/>
      <c r="AB949" s="13"/>
      <c r="AC949" s="13"/>
      <c r="AD949" s="86"/>
      <c r="AE949" s="70"/>
      <c r="AF949" s="70" t="s">
        <v>207</v>
      </c>
      <c r="AG949" s="14" t="s">
        <v>207</v>
      </c>
      <c r="AH949" s="14" t="s">
        <v>207</v>
      </c>
      <c r="AI949" s="70" t="s">
        <v>207</v>
      </c>
      <c r="AJ949" s="14" t="s">
        <v>207</v>
      </c>
      <c r="AK949" s="14" t="s">
        <v>207</v>
      </c>
      <c r="AL949" s="14" t="s">
        <v>207</v>
      </c>
      <c r="AM949" s="14" t="s">
        <v>207</v>
      </c>
      <c r="AN949" s="14" t="s">
        <v>207</v>
      </c>
      <c r="AO949" s="14" t="s">
        <v>207</v>
      </c>
      <c r="AP949" s="14" t="s">
        <v>207</v>
      </c>
      <c r="AQ949" s="14" t="s">
        <v>207</v>
      </c>
      <c r="AR949" s="14" t="s">
        <v>207</v>
      </c>
      <c r="AS949" s="14" t="s">
        <v>207</v>
      </c>
      <c r="AT949" s="14" t="s">
        <v>207</v>
      </c>
      <c r="AU949" s="30" t="s">
        <v>11342</v>
      </c>
      <c r="AV949" s="14" t="s">
        <v>207</v>
      </c>
      <c r="AW949" s="74"/>
      <c r="AX949" s="1"/>
      <c r="AY949" s="17" t="s">
        <v>101</v>
      </c>
    </row>
    <row r="950" spans="1:51" ht="12.75" customHeight="1" x14ac:dyDescent="0.25">
      <c r="A950" s="5">
        <v>910</v>
      </c>
      <c r="B950" s="9">
        <v>910</v>
      </c>
      <c r="C950" s="9" t="s">
        <v>11343</v>
      </c>
      <c r="D950" s="57" t="str">
        <f>HYPERLINK("http://prodenv.dep.state.fl.us/DepNexus/public/electronic-documents/OG_910/facility!search","OG_910_Docs")</f>
        <v>OG_910_Docs</v>
      </c>
      <c r="E950" s="57" t="str">
        <f>HYPERLINK("https://ca.dep.state.fl.us/mapdirect/?focus=oilandgas&amp;zoom=query&amp;querytype=oilandgas&amp;queryvalues=OG_910","OG_910_Map")</f>
        <v>OG_910_Map</v>
      </c>
      <c r="F950" s="1" t="s">
        <v>1797</v>
      </c>
      <c r="G950" s="1" t="s">
        <v>5133</v>
      </c>
      <c r="H950" s="1" t="s">
        <v>1363</v>
      </c>
      <c r="I950" s="1" t="s">
        <v>11344</v>
      </c>
      <c r="J950" s="17" t="s">
        <v>3646</v>
      </c>
      <c r="K950" s="17" t="s">
        <v>412</v>
      </c>
      <c r="L950" s="17"/>
      <c r="M950" s="17"/>
      <c r="N950" s="52" t="s">
        <v>11345</v>
      </c>
      <c r="O950" s="17" t="s">
        <v>86</v>
      </c>
      <c r="P950" s="17" t="s">
        <v>86</v>
      </c>
      <c r="Q950" s="81" t="s">
        <v>6853</v>
      </c>
      <c r="R950" s="11">
        <v>30.947762000000001</v>
      </c>
      <c r="S950" s="11">
        <v>-87.162197000000006</v>
      </c>
      <c r="T950" s="11" t="s">
        <v>11346</v>
      </c>
      <c r="U950" s="11" t="s">
        <v>11347</v>
      </c>
      <c r="V950" s="17" t="s">
        <v>11348</v>
      </c>
      <c r="W950" s="17" t="s">
        <v>110</v>
      </c>
      <c r="X950" s="70">
        <v>287</v>
      </c>
      <c r="Y950" s="70">
        <v>263</v>
      </c>
      <c r="Z950" s="13">
        <v>28325</v>
      </c>
      <c r="AA950" s="13">
        <v>28375</v>
      </c>
      <c r="AB950" s="13">
        <v>28576</v>
      </c>
      <c r="AC950" s="13"/>
      <c r="AD950" s="86">
        <v>15815</v>
      </c>
      <c r="AE950" s="86">
        <v>15815</v>
      </c>
      <c r="AF950" s="70" t="s">
        <v>11349</v>
      </c>
      <c r="AG950" s="17" t="s">
        <v>11350</v>
      </c>
      <c r="AH950" s="17" t="s">
        <v>86</v>
      </c>
      <c r="AI950" s="70" t="s">
        <v>11351</v>
      </c>
      <c r="AJ950" s="17" t="s">
        <v>11352</v>
      </c>
      <c r="AK950" s="17" t="s">
        <v>825</v>
      </c>
      <c r="AL950" s="17" t="s">
        <v>11353</v>
      </c>
      <c r="AM950" s="17" t="s">
        <v>95</v>
      </c>
      <c r="AN950" s="17" t="s">
        <v>86</v>
      </c>
      <c r="AO950" s="17" t="s">
        <v>11354</v>
      </c>
      <c r="AP950" s="17" t="s">
        <v>11355</v>
      </c>
      <c r="AQ950" s="17" t="s">
        <v>11356</v>
      </c>
      <c r="AR950" s="17" t="s">
        <v>11357</v>
      </c>
      <c r="AS950" s="17" t="s">
        <v>86</v>
      </c>
      <c r="AT950" s="17">
        <v>262</v>
      </c>
      <c r="AU950" s="30" t="s">
        <v>11358</v>
      </c>
      <c r="AV950" s="14">
        <v>13747</v>
      </c>
      <c r="AW950" s="74">
        <v>309899</v>
      </c>
      <c r="AX950" s="1"/>
      <c r="AY950" s="17" t="s">
        <v>101</v>
      </c>
    </row>
    <row r="951" spans="1:51" ht="12.75" customHeight="1" x14ac:dyDescent="0.25">
      <c r="A951" s="5">
        <v>910.1</v>
      </c>
      <c r="B951" s="9" t="s">
        <v>11359</v>
      </c>
      <c r="C951" s="9" t="s">
        <v>11343</v>
      </c>
      <c r="D951" s="57" t="str">
        <f>HYPERLINK("http://prodenv.dep.state.fl.us/DepNexus/public/electronic-documents/OG_910/facility!search","OG_910_Docs")</f>
        <v>OG_910_Docs</v>
      </c>
      <c r="E951" s="57" t="str">
        <f>HYPERLINK("https://ca.dep.state.fl.us/mapdirect/?focus=oilandgas&amp;zoom=query&amp;querytype=oilandgas&amp;queryvalues=OG_910","OG_910_Map")</f>
        <v>OG_910_Map</v>
      </c>
      <c r="F951" s="1" t="s">
        <v>1797</v>
      </c>
      <c r="G951" s="1" t="s">
        <v>5133</v>
      </c>
      <c r="H951" s="1" t="s">
        <v>1363</v>
      </c>
      <c r="I951" s="1" t="s">
        <v>11360</v>
      </c>
      <c r="J951" s="17" t="s">
        <v>207</v>
      </c>
      <c r="K951" s="17" t="s">
        <v>5153</v>
      </c>
      <c r="L951" s="17"/>
      <c r="M951" s="17" t="s">
        <v>207</v>
      </c>
      <c r="N951" s="52" t="s">
        <v>86</v>
      </c>
      <c r="O951" s="17" t="s">
        <v>86</v>
      </c>
      <c r="P951" s="17" t="s">
        <v>86</v>
      </c>
      <c r="Q951" s="81" t="s">
        <v>6853</v>
      </c>
      <c r="R951" s="11">
        <v>30.947762000000001</v>
      </c>
      <c r="S951" s="11">
        <v>-87.162197000000006</v>
      </c>
      <c r="T951" s="11" t="s">
        <v>11346</v>
      </c>
      <c r="U951" s="11" t="s">
        <v>11347</v>
      </c>
      <c r="V951" s="17" t="s">
        <v>11348</v>
      </c>
      <c r="W951" s="17"/>
      <c r="X951" s="70"/>
      <c r="Y951" s="70"/>
      <c r="Z951" s="13">
        <v>39849</v>
      </c>
      <c r="AA951" s="13"/>
      <c r="AB951" s="13"/>
      <c r="AC951" s="13"/>
      <c r="AD951" s="86"/>
      <c r="AE951" s="70"/>
      <c r="AF951" s="70" t="s">
        <v>207</v>
      </c>
      <c r="AG951" s="13" t="s">
        <v>207</v>
      </c>
      <c r="AH951" s="13" t="s">
        <v>207</v>
      </c>
      <c r="AI951" s="70" t="s">
        <v>207</v>
      </c>
      <c r="AJ951" s="13" t="s">
        <v>207</v>
      </c>
      <c r="AK951" s="13" t="s">
        <v>207</v>
      </c>
      <c r="AL951" s="13" t="s">
        <v>207</v>
      </c>
      <c r="AM951" s="13" t="s">
        <v>207</v>
      </c>
      <c r="AN951" s="13" t="s">
        <v>207</v>
      </c>
      <c r="AO951" s="13" t="s">
        <v>207</v>
      </c>
      <c r="AP951" s="13" t="s">
        <v>207</v>
      </c>
      <c r="AQ951" s="13" t="s">
        <v>207</v>
      </c>
      <c r="AR951" s="13" t="s">
        <v>207</v>
      </c>
      <c r="AS951" s="13" t="s">
        <v>207</v>
      </c>
      <c r="AT951" s="13" t="s">
        <v>207</v>
      </c>
      <c r="AU951" s="83" t="s">
        <v>207</v>
      </c>
      <c r="AV951" s="14" t="s">
        <v>207</v>
      </c>
      <c r="AW951" s="74"/>
      <c r="AX951" s="1" t="s">
        <v>11361</v>
      </c>
      <c r="AY951" s="17" t="s">
        <v>101</v>
      </c>
    </row>
    <row r="952" spans="1:51" ht="15" customHeight="1" x14ac:dyDescent="0.25">
      <c r="A952" s="5">
        <v>911</v>
      </c>
      <c r="B952" s="9">
        <v>911</v>
      </c>
      <c r="C952" s="9" t="s">
        <v>11362</v>
      </c>
      <c r="D952" s="57" t="str">
        <f>HYPERLINK("http://prodenv.dep.state.fl.us/DepNexus/public/electronic-documents/OG_911/facility!search","OG_911_Docs")</f>
        <v>OG_911_Docs</v>
      </c>
      <c r="E952" s="57" t="str">
        <f>HYPERLINK("https://ca.dep.state.fl.us/mapdirect/?focus=oilandgas&amp;zoom=query&amp;querytype=oilandgas&amp;queryvalues=OG_911","OG_911_Map")</f>
        <v>OG_911_Map</v>
      </c>
      <c r="F952" s="1" t="s">
        <v>1797</v>
      </c>
      <c r="G952" s="1" t="s">
        <v>79</v>
      </c>
      <c r="H952" s="1" t="s">
        <v>11363</v>
      </c>
      <c r="I952" s="1" t="s">
        <v>11364</v>
      </c>
      <c r="J952" s="17" t="s">
        <v>82</v>
      </c>
      <c r="K952" s="17" t="s">
        <v>83</v>
      </c>
      <c r="L952" s="17"/>
      <c r="M952" s="17" t="s">
        <v>84</v>
      </c>
      <c r="N952" s="52" t="s">
        <v>11365</v>
      </c>
      <c r="O952" s="17" t="s">
        <v>1962</v>
      </c>
      <c r="P952" s="17" t="s">
        <v>86</v>
      </c>
      <c r="Q952" s="81" t="s">
        <v>11366</v>
      </c>
      <c r="R952" s="11">
        <v>30.798525000000001</v>
      </c>
      <c r="S952" s="11">
        <v>-86.870416000000006</v>
      </c>
      <c r="T952" s="11" t="s">
        <v>11367</v>
      </c>
      <c r="U952" s="11" t="s">
        <v>11368</v>
      </c>
      <c r="V952" s="17" t="s">
        <v>9198</v>
      </c>
      <c r="W952" s="17" t="s">
        <v>110</v>
      </c>
      <c r="X952" s="70">
        <v>204</v>
      </c>
      <c r="Y952" s="70">
        <v>178</v>
      </c>
      <c r="Z952" s="13">
        <v>28353</v>
      </c>
      <c r="AA952" s="13">
        <v>28493</v>
      </c>
      <c r="AB952" s="13">
        <v>28557</v>
      </c>
      <c r="AC952" s="13">
        <v>28584</v>
      </c>
      <c r="AD952" s="86">
        <v>16141</v>
      </c>
      <c r="AE952" s="86">
        <v>16141</v>
      </c>
      <c r="AF952" s="70" t="s">
        <v>11369</v>
      </c>
      <c r="AG952" s="17" t="s">
        <v>11370</v>
      </c>
      <c r="AH952" s="17" t="s">
        <v>11371</v>
      </c>
      <c r="AI952" s="70" t="s">
        <v>86</v>
      </c>
      <c r="AJ952" s="17" t="s">
        <v>94</v>
      </c>
      <c r="AK952" s="17" t="s">
        <v>95</v>
      </c>
      <c r="AL952" s="17" t="s">
        <v>11372</v>
      </c>
      <c r="AM952" s="17" t="s">
        <v>825</v>
      </c>
      <c r="AN952" s="17" t="s">
        <v>11373</v>
      </c>
      <c r="AO952" s="17" t="s">
        <v>98</v>
      </c>
      <c r="AP952" s="17" t="s">
        <v>98</v>
      </c>
      <c r="AQ952" s="17" t="s">
        <v>98</v>
      </c>
      <c r="AR952" s="17" t="s">
        <v>94</v>
      </c>
      <c r="AS952" s="17" t="s">
        <v>11374</v>
      </c>
      <c r="AT952" s="17">
        <v>272</v>
      </c>
      <c r="AU952" s="30" t="s">
        <v>11375</v>
      </c>
      <c r="AV952" s="14">
        <v>13847</v>
      </c>
      <c r="AW952" s="74"/>
      <c r="AX952" s="1"/>
      <c r="AY952" s="17" t="s">
        <v>101</v>
      </c>
    </row>
    <row r="953" spans="1:51" ht="12.75" customHeight="1" x14ac:dyDescent="0.25">
      <c r="A953" s="5">
        <v>912</v>
      </c>
      <c r="B953" s="9">
        <v>912</v>
      </c>
      <c r="C953" s="9" t="s">
        <v>11376</v>
      </c>
      <c r="D953" s="57" t="str">
        <f>HYPERLINK("http://prodenv.dep.state.fl.us/DepNexus/public/electronic-documents/OG_912/facility!search","OG_912_Docs")</f>
        <v>OG_912_Docs</v>
      </c>
      <c r="E953" s="57" t="str">
        <f>HYPERLINK("https://ca.dep.state.fl.us/mapdirect/?focus=oilandgas&amp;zoom=query&amp;querytype=oilandgas&amp;queryvalues=OG_912","OG_912_Map")</f>
        <v>OG_912_Map</v>
      </c>
      <c r="F953" s="1" t="s">
        <v>1797</v>
      </c>
      <c r="G953" s="1" t="s">
        <v>79</v>
      </c>
      <c r="H953" s="1" t="s">
        <v>11363</v>
      </c>
      <c r="I953" s="1" t="s">
        <v>11377</v>
      </c>
      <c r="J953" s="17" t="s">
        <v>82</v>
      </c>
      <c r="K953" s="17" t="s">
        <v>83</v>
      </c>
      <c r="L953" s="17"/>
      <c r="M953" s="17" t="s">
        <v>84</v>
      </c>
      <c r="N953" s="52" t="s">
        <v>11378</v>
      </c>
      <c r="O953" s="17" t="s">
        <v>86</v>
      </c>
      <c r="P953" s="17" t="s">
        <v>86</v>
      </c>
      <c r="Q953" s="81" t="s">
        <v>11379</v>
      </c>
      <c r="R953" s="11">
        <v>30.827653999999999</v>
      </c>
      <c r="S953" s="11">
        <v>-86.893150000000006</v>
      </c>
      <c r="T953" s="11" t="s">
        <v>11380</v>
      </c>
      <c r="U953" s="11" t="s">
        <v>11381</v>
      </c>
      <c r="V953" s="17" t="s">
        <v>11382</v>
      </c>
      <c r="W953" s="17" t="s">
        <v>110</v>
      </c>
      <c r="X953" s="70">
        <v>138</v>
      </c>
      <c r="Y953" s="70">
        <v>112</v>
      </c>
      <c r="Z953" s="13">
        <v>28374</v>
      </c>
      <c r="AA953" s="13">
        <v>28425</v>
      </c>
      <c r="AB953" s="13">
        <v>28489</v>
      </c>
      <c r="AC953" s="13">
        <v>28511</v>
      </c>
      <c r="AD953" s="86">
        <v>16000</v>
      </c>
      <c r="AE953" s="86">
        <v>16000</v>
      </c>
      <c r="AF953" s="70" t="s">
        <v>11383</v>
      </c>
      <c r="AG953" s="17" t="s">
        <v>11384</v>
      </c>
      <c r="AH953" s="17" t="s">
        <v>94</v>
      </c>
      <c r="AI953" s="70" t="s">
        <v>94</v>
      </c>
      <c r="AJ953" s="17" t="s">
        <v>94</v>
      </c>
      <c r="AK953" s="17" t="s">
        <v>95</v>
      </c>
      <c r="AL953" s="17" t="s">
        <v>11385</v>
      </c>
      <c r="AM953" s="17" t="s">
        <v>94</v>
      </c>
      <c r="AN953" s="17" t="s">
        <v>94</v>
      </c>
      <c r="AO953" s="17" t="s">
        <v>98</v>
      </c>
      <c r="AP953" s="17" t="s">
        <v>98</v>
      </c>
      <c r="AQ953" s="17" t="s">
        <v>98</v>
      </c>
      <c r="AR953" s="17" t="s">
        <v>94</v>
      </c>
      <c r="AS953" s="17" t="s">
        <v>11386</v>
      </c>
      <c r="AT953" s="17">
        <v>257</v>
      </c>
      <c r="AU953" s="30" t="s">
        <v>11387</v>
      </c>
      <c r="AV953" s="14">
        <v>13790</v>
      </c>
      <c r="AW953" s="74"/>
      <c r="AX953" s="1"/>
      <c r="AY953" s="17" t="s">
        <v>101</v>
      </c>
    </row>
    <row r="954" spans="1:51" ht="12.75" customHeight="1" x14ac:dyDescent="0.25">
      <c r="A954" s="5">
        <v>913</v>
      </c>
      <c r="B954" s="9">
        <v>913</v>
      </c>
      <c r="C954" s="9" t="s">
        <v>11388</v>
      </c>
      <c r="D954" s="57" t="str">
        <f>HYPERLINK("http://prodenv.dep.state.fl.us/DepNexus/public/electronic-documents/OG_913/facility!search","OG_913_Docs")</f>
        <v>OG_913_Docs</v>
      </c>
      <c r="E954" s="57" t="str">
        <f>HYPERLINK("https://ca.dep.state.fl.us/mapdirect/?focus=oilandgas&amp;zoom=query&amp;querytype=oilandgas&amp;queryvalues=OG_913","OG_913_Map")</f>
        <v>OG_913_Map</v>
      </c>
      <c r="F954" s="1" t="s">
        <v>265</v>
      </c>
      <c r="G954" s="1" t="s">
        <v>10452</v>
      </c>
      <c r="H954" s="1" t="s">
        <v>8261</v>
      </c>
      <c r="I954" s="1" t="s">
        <v>11389</v>
      </c>
      <c r="J954" s="17" t="s">
        <v>207</v>
      </c>
      <c r="K954" s="17" t="s">
        <v>208</v>
      </c>
      <c r="L954" s="17"/>
      <c r="M954" s="17" t="s">
        <v>207</v>
      </c>
      <c r="N954" s="52" t="s">
        <v>207</v>
      </c>
      <c r="O954" s="17" t="s">
        <v>270</v>
      </c>
      <c r="P954" s="17" t="s">
        <v>3395</v>
      </c>
      <c r="Q954" s="81" t="s">
        <v>11390</v>
      </c>
      <c r="R954" s="11">
        <v>25.982354000000001</v>
      </c>
      <c r="S954" s="11">
        <v>-80.925635999999997</v>
      </c>
      <c r="T954" s="11" t="s">
        <v>11391</v>
      </c>
      <c r="U954" s="11" t="s">
        <v>11392</v>
      </c>
      <c r="V954" s="17" t="s">
        <v>11393</v>
      </c>
      <c r="W954" s="17" t="s">
        <v>11394</v>
      </c>
      <c r="X954" s="70"/>
      <c r="Y954" s="70"/>
      <c r="Z954" s="13">
        <v>28451</v>
      </c>
      <c r="AA954" s="13"/>
      <c r="AB954" s="13"/>
      <c r="AC954" s="13"/>
      <c r="AD954" s="86"/>
      <c r="AE954" s="70"/>
      <c r="AF954" s="70" t="s">
        <v>207</v>
      </c>
      <c r="AG954" s="14" t="s">
        <v>207</v>
      </c>
      <c r="AH954" s="14" t="s">
        <v>207</v>
      </c>
      <c r="AI954" s="70" t="s">
        <v>207</v>
      </c>
      <c r="AJ954" s="14" t="s">
        <v>207</v>
      </c>
      <c r="AK954" s="14" t="s">
        <v>207</v>
      </c>
      <c r="AL954" s="14" t="s">
        <v>207</v>
      </c>
      <c r="AM954" s="14" t="s">
        <v>207</v>
      </c>
      <c r="AN954" s="14" t="s">
        <v>207</v>
      </c>
      <c r="AO954" s="14" t="s">
        <v>207</v>
      </c>
      <c r="AP954" s="14" t="s">
        <v>207</v>
      </c>
      <c r="AQ954" s="14" t="s">
        <v>207</v>
      </c>
      <c r="AR954" s="14" t="s">
        <v>207</v>
      </c>
      <c r="AS954" s="14" t="s">
        <v>207</v>
      </c>
      <c r="AT954" s="14" t="s">
        <v>207</v>
      </c>
      <c r="AU954" s="30" t="s">
        <v>11395</v>
      </c>
      <c r="AV954" s="14" t="s">
        <v>207</v>
      </c>
      <c r="AW954" s="74"/>
      <c r="AX954" s="1"/>
      <c r="AY954" s="17" t="s">
        <v>101</v>
      </c>
    </row>
    <row r="955" spans="1:51" ht="12.75" customHeight="1" x14ac:dyDescent="0.25">
      <c r="A955" s="5">
        <v>914</v>
      </c>
      <c r="B955" s="9">
        <v>914</v>
      </c>
      <c r="C955" s="9" t="s">
        <v>11396</v>
      </c>
      <c r="D955" s="57" t="str">
        <f>HYPERLINK("http://prodenv.dep.state.fl.us/DepNexus/public/electronic-documents/OG_914/facility!search","OG_914_Docs")</f>
        <v>OG_914_Docs</v>
      </c>
      <c r="E955" s="57" t="str">
        <f>HYPERLINK("https://ca.dep.state.fl.us/mapdirect/?focus=oilandgas&amp;zoom=query&amp;querytype=oilandgas&amp;queryvalues=OG_914","OG_914_Map")</f>
        <v>OG_914_Map</v>
      </c>
      <c r="F955" s="1" t="s">
        <v>1797</v>
      </c>
      <c r="G955" s="1" t="s">
        <v>10981</v>
      </c>
      <c r="H955" s="1" t="s">
        <v>11363</v>
      </c>
      <c r="I955" s="1" t="s">
        <v>11397</v>
      </c>
      <c r="J955" s="17" t="s">
        <v>207</v>
      </c>
      <c r="K955" s="17" t="s">
        <v>208</v>
      </c>
      <c r="L955" s="17"/>
      <c r="M955" s="17" t="s">
        <v>207</v>
      </c>
      <c r="N955" s="52" t="s">
        <v>207</v>
      </c>
      <c r="O955" s="17" t="s">
        <v>1962</v>
      </c>
      <c r="P955" s="17" t="s">
        <v>86</v>
      </c>
      <c r="Q955" s="81" t="s">
        <v>11398</v>
      </c>
      <c r="R955" s="11">
        <v>30.927932999999999</v>
      </c>
      <c r="S955" s="11">
        <v>-86.840486999999996</v>
      </c>
      <c r="T955" s="11" t="s">
        <v>11399</v>
      </c>
      <c r="U955" s="11" t="s">
        <v>11400</v>
      </c>
      <c r="V955" s="17" t="s">
        <v>11401</v>
      </c>
      <c r="W955" s="17" t="s">
        <v>110</v>
      </c>
      <c r="X955" s="70"/>
      <c r="Y955" s="70"/>
      <c r="Z955" s="13">
        <v>28388</v>
      </c>
      <c r="AA955" s="13"/>
      <c r="AB955" s="13"/>
      <c r="AC955" s="13"/>
      <c r="AD955" s="86"/>
      <c r="AE955" s="70"/>
      <c r="AF955" s="70" t="s">
        <v>207</v>
      </c>
      <c r="AG955" s="14" t="s">
        <v>207</v>
      </c>
      <c r="AH955" s="14" t="s">
        <v>207</v>
      </c>
      <c r="AI955" s="70" t="s">
        <v>207</v>
      </c>
      <c r="AJ955" s="14" t="s">
        <v>207</v>
      </c>
      <c r="AK955" s="14" t="s">
        <v>207</v>
      </c>
      <c r="AL955" s="14" t="s">
        <v>207</v>
      </c>
      <c r="AM955" s="14" t="s">
        <v>207</v>
      </c>
      <c r="AN955" s="14" t="s">
        <v>207</v>
      </c>
      <c r="AO955" s="14" t="s">
        <v>207</v>
      </c>
      <c r="AP955" s="14" t="s">
        <v>207</v>
      </c>
      <c r="AQ955" s="14" t="s">
        <v>207</v>
      </c>
      <c r="AR955" s="14" t="s">
        <v>207</v>
      </c>
      <c r="AS955" s="14" t="s">
        <v>207</v>
      </c>
      <c r="AT955" s="14" t="s">
        <v>207</v>
      </c>
      <c r="AU955" s="30" t="s">
        <v>11402</v>
      </c>
      <c r="AV955" s="14" t="s">
        <v>207</v>
      </c>
      <c r="AW955" s="74"/>
      <c r="AX955" s="1"/>
      <c r="AY955" s="17" t="s">
        <v>101</v>
      </c>
    </row>
    <row r="956" spans="1:51" ht="12.75" customHeight="1" x14ac:dyDescent="0.25">
      <c r="A956" s="5">
        <v>915</v>
      </c>
      <c r="B956" s="9">
        <v>915</v>
      </c>
      <c r="C956" s="9" t="s">
        <v>11403</v>
      </c>
      <c r="D956" s="57" t="str">
        <f>HYPERLINK("http://prodenv.dep.state.fl.us/DepNexus/public/electronic-documents/OG_915/facility!search","OG_915_Docs")</f>
        <v>OG_915_Docs</v>
      </c>
      <c r="E956" s="57" t="str">
        <f>HYPERLINK("https://ca.dep.state.fl.us/mapdirect/?focus=oilandgas&amp;zoom=query&amp;querytype=oilandgas&amp;queryvalues=OG_915","OG_915_Map")</f>
        <v>OG_915_Map</v>
      </c>
      <c r="F956" s="1" t="s">
        <v>265</v>
      </c>
      <c r="G956" s="1" t="s">
        <v>10452</v>
      </c>
      <c r="H956" s="1" t="s">
        <v>8318</v>
      </c>
      <c r="I956" s="1" t="s">
        <v>11404</v>
      </c>
      <c r="J956" s="17" t="s">
        <v>268</v>
      </c>
      <c r="K956" s="17" t="s">
        <v>5048</v>
      </c>
      <c r="L956" s="17"/>
      <c r="M956" s="17"/>
      <c r="N956" s="52" t="s">
        <v>6945</v>
      </c>
      <c r="O956" s="17" t="s">
        <v>270</v>
      </c>
      <c r="P956" s="17" t="s">
        <v>3395</v>
      </c>
      <c r="Q956" s="81" t="s">
        <v>11390</v>
      </c>
      <c r="R956" s="11">
        <v>25.982596000000001</v>
      </c>
      <c r="S956" s="11">
        <v>-80.925112999999996</v>
      </c>
      <c r="T956" s="11" t="s">
        <v>11405</v>
      </c>
      <c r="U956" s="11" t="s">
        <v>11406</v>
      </c>
      <c r="V956" s="17" t="s">
        <v>11407</v>
      </c>
      <c r="W956" s="17" t="s">
        <v>11408</v>
      </c>
      <c r="X956" s="70">
        <v>34.200000000000003</v>
      </c>
      <c r="Y956" s="70">
        <v>11.7</v>
      </c>
      <c r="Z956" s="13">
        <v>28451</v>
      </c>
      <c r="AA956" s="13">
        <v>29993</v>
      </c>
      <c r="AB956" s="13">
        <v>30624</v>
      </c>
      <c r="AC956" s="13">
        <v>37126</v>
      </c>
      <c r="AD956" s="86">
        <v>11443</v>
      </c>
      <c r="AE956" s="86">
        <v>12550</v>
      </c>
      <c r="AF956" s="70" t="s">
        <v>11409</v>
      </c>
      <c r="AG956" s="17" t="s">
        <v>11410</v>
      </c>
      <c r="AH956" s="17" t="s">
        <v>11411</v>
      </c>
      <c r="AI956" s="70" t="s">
        <v>11412</v>
      </c>
      <c r="AJ956" s="17" t="s">
        <v>11413</v>
      </c>
      <c r="AK956" s="17" t="s">
        <v>95</v>
      </c>
      <c r="AL956" s="17" t="s">
        <v>11414</v>
      </c>
      <c r="AM956" s="17" t="s">
        <v>94</v>
      </c>
      <c r="AN956" s="17" t="s">
        <v>94</v>
      </c>
      <c r="AO956" s="17" t="s">
        <v>11415</v>
      </c>
      <c r="AP956" s="17" t="s">
        <v>4176</v>
      </c>
      <c r="AQ956" s="17" t="s">
        <v>425</v>
      </c>
      <c r="AR956" s="17" t="s">
        <v>11416</v>
      </c>
      <c r="AS956" s="17" t="s">
        <v>11417</v>
      </c>
      <c r="AT956" s="17"/>
      <c r="AU956" s="30" t="s">
        <v>11418</v>
      </c>
      <c r="AV956" s="14">
        <v>15122</v>
      </c>
      <c r="AW956" s="74">
        <v>314440</v>
      </c>
      <c r="AX956" s="1"/>
      <c r="AY956" s="17" t="s">
        <v>101</v>
      </c>
    </row>
    <row r="957" spans="1:51" ht="12.75" customHeight="1" x14ac:dyDescent="0.25">
      <c r="A957" s="5">
        <v>916</v>
      </c>
      <c r="B957" s="9">
        <v>916</v>
      </c>
      <c r="C957" s="9" t="s">
        <v>11419</v>
      </c>
      <c r="D957" s="57" t="str">
        <f>HYPERLINK("http://prodenv.dep.state.fl.us/DepNexus/public/electronic-documents/OG_916/facility!search","OG_916_Docs")</f>
        <v>OG_916_Docs</v>
      </c>
      <c r="E957" s="57" t="str">
        <f>HYPERLINK("https://ca.dep.state.fl.us/mapdirect/?focus=oilandgas&amp;zoom=query&amp;querytype=oilandgas&amp;queryvalues=OG_916","OG_916_Map")</f>
        <v>OG_916_Map</v>
      </c>
      <c r="F957" s="1" t="s">
        <v>265</v>
      </c>
      <c r="G957" s="1" t="s">
        <v>10452</v>
      </c>
      <c r="H957" s="1" t="s">
        <v>8261</v>
      </c>
      <c r="I957" s="1" t="s">
        <v>11420</v>
      </c>
      <c r="J957" s="17" t="s">
        <v>207</v>
      </c>
      <c r="K957" s="17" t="s">
        <v>208</v>
      </c>
      <c r="L957" s="17"/>
      <c r="M957" s="17" t="s">
        <v>207</v>
      </c>
      <c r="N957" s="52" t="s">
        <v>207</v>
      </c>
      <c r="O957" s="17" t="s">
        <v>270</v>
      </c>
      <c r="P957" s="17" t="s">
        <v>3395</v>
      </c>
      <c r="Q957" s="81" t="s">
        <v>11421</v>
      </c>
      <c r="R957" s="11">
        <v>25.982341000000002</v>
      </c>
      <c r="S957" s="11">
        <v>-80.925515000000004</v>
      </c>
      <c r="T957" s="11" t="s">
        <v>11422</v>
      </c>
      <c r="U957" s="11" t="s">
        <v>11423</v>
      </c>
      <c r="V957" s="17" t="s">
        <v>11424</v>
      </c>
      <c r="W957" s="17" t="s">
        <v>110</v>
      </c>
      <c r="X957" s="70"/>
      <c r="Y957" s="70"/>
      <c r="Z957" s="13">
        <v>28451</v>
      </c>
      <c r="AA957" s="13"/>
      <c r="AB957" s="13"/>
      <c r="AC957" s="13"/>
      <c r="AD957" s="86"/>
      <c r="AE957" s="70"/>
      <c r="AF957" s="70" t="s">
        <v>207</v>
      </c>
      <c r="AG957" s="14" t="s">
        <v>207</v>
      </c>
      <c r="AH957" s="14" t="s">
        <v>207</v>
      </c>
      <c r="AI957" s="70" t="s">
        <v>207</v>
      </c>
      <c r="AJ957" s="14" t="s">
        <v>207</v>
      </c>
      <c r="AK957" s="14" t="s">
        <v>207</v>
      </c>
      <c r="AL957" s="14" t="s">
        <v>207</v>
      </c>
      <c r="AM957" s="14" t="s">
        <v>207</v>
      </c>
      <c r="AN957" s="14" t="s">
        <v>207</v>
      </c>
      <c r="AO957" s="14" t="s">
        <v>207</v>
      </c>
      <c r="AP957" s="14" t="s">
        <v>207</v>
      </c>
      <c r="AQ957" s="14" t="s">
        <v>207</v>
      </c>
      <c r="AR957" s="14" t="s">
        <v>207</v>
      </c>
      <c r="AS957" s="14" t="s">
        <v>207</v>
      </c>
      <c r="AT957" s="17"/>
      <c r="AU957" s="30" t="s">
        <v>11425</v>
      </c>
      <c r="AV957" s="14" t="s">
        <v>207</v>
      </c>
      <c r="AW957" s="74"/>
      <c r="AX957" s="1"/>
      <c r="AY957" s="17" t="s">
        <v>101</v>
      </c>
    </row>
    <row r="958" spans="1:51" ht="15" customHeight="1" x14ac:dyDescent="0.25">
      <c r="A958" s="5">
        <v>917</v>
      </c>
      <c r="B958" s="9">
        <v>917</v>
      </c>
      <c r="C958" s="9" t="s">
        <v>11426</v>
      </c>
      <c r="D958" s="57" t="str">
        <f>HYPERLINK("http://prodenv.dep.state.fl.us/DepNexus/public/electronic-documents/OG_917/facility!search","OG_917_Docs")</f>
        <v>OG_917_Docs</v>
      </c>
      <c r="E958" s="57" t="str">
        <f>HYPERLINK("https://ca.dep.state.fl.us/mapdirect/?focus=oilandgas&amp;zoom=query&amp;querytype=oilandgas&amp;queryvalues=OG_917","OG_917_Map")</f>
        <v>OG_917_Map</v>
      </c>
      <c r="F958" s="1" t="s">
        <v>1797</v>
      </c>
      <c r="G958" s="1" t="s">
        <v>79</v>
      </c>
      <c r="H958" s="1" t="s">
        <v>11427</v>
      </c>
      <c r="I958" s="1" t="s">
        <v>11428</v>
      </c>
      <c r="J958" s="17" t="s">
        <v>82</v>
      </c>
      <c r="K958" s="17" t="s">
        <v>83</v>
      </c>
      <c r="L958" s="17"/>
      <c r="M958" s="17"/>
      <c r="N958" s="52" t="s">
        <v>6529</v>
      </c>
      <c r="O958" s="17" t="s">
        <v>86</v>
      </c>
      <c r="P958" s="17" t="s">
        <v>86</v>
      </c>
      <c r="Q958" s="81" t="s">
        <v>11429</v>
      </c>
      <c r="R958" s="11">
        <v>30.886745000000001</v>
      </c>
      <c r="S958" s="11">
        <v>-87.221044000000006</v>
      </c>
      <c r="T958" s="11" t="s">
        <v>11430</v>
      </c>
      <c r="U958" s="11" t="s">
        <v>11431</v>
      </c>
      <c r="V958" s="17" t="s">
        <v>11432</v>
      </c>
      <c r="W958" s="17" t="s">
        <v>110</v>
      </c>
      <c r="X958" s="70">
        <v>266</v>
      </c>
      <c r="Y958" s="70">
        <v>235</v>
      </c>
      <c r="Z958" s="13">
        <v>28416</v>
      </c>
      <c r="AA958" s="13">
        <v>28415</v>
      </c>
      <c r="AB958" s="13"/>
      <c r="AC958" s="13">
        <v>28482</v>
      </c>
      <c r="AD958" s="86">
        <v>16750</v>
      </c>
      <c r="AE958" s="70">
        <v>16750</v>
      </c>
      <c r="AF958" s="70" t="s">
        <v>10305</v>
      </c>
      <c r="AG958" s="14" t="s">
        <v>11433</v>
      </c>
      <c r="AH958" s="14" t="s">
        <v>94</v>
      </c>
      <c r="AI958" s="70" t="s">
        <v>94</v>
      </c>
      <c r="AJ958" s="14" t="s">
        <v>94</v>
      </c>
      <c r="AK958" s="14" t="s">
        <v>95</v>
      </c>
      <c r="AL958" s="14" t="s">
        <v>11434</v>
      </c>
      <c r="AM958" s="14" t="s">
        <v>94</v>
      </c>
      <c r="AN958" s="14" t="s">
        <v>94</v>
      </c>
      <c r="AO958" s="14" t="s">
        <v>98</v>
      </c>
      <c r="AP958" s="14" t="s">
        <v>98</v>
      </c>
      <c r="AQ958" s="14" t="s">
        <v>98</v>
      </c>
      <c r="AR958" s="14" t="s">
        <v>94</v>
      </c>
      <c r="AS958" s="14" t="s">
        <v>11435</v>
      </c>
      <c r="AT958" s="17"/>
      <c r="AU958" s="30" t="s">
        <v>11436</v>
      </c>
      <c r="AV958" s="14">
        <v>13791</v>
      </c>
      <c r="AW958" s="74"/>
      <c r="AX958" s="1"/>
      <c r="AY958" s="17" t="s">
        <v>101</v>
      </c>
    </row>
    <row r="959" spans="1:51" ht="12.75" customHeight="1" x14ac:dyDescent="0.25">
      <c r="A959" s="5">
        <v>918</v>
      </c>
      <c r="B959" s="9">
        <v>918</v>
      </c>
      <c r="C959" s="9" t="s">
        <v>11437</v>
      </c>
      <c r="D959" s="57" t="str">
        <f>HYPERLINK("http://prodenv.dep.state.fl.us/DepNexus/public/electronic-documents/OG_918/facility!search","OG_918_Docs")</f>
        <v>OG_918_Docs</v>
      </c>
      <c r="E959" s="57" t="str">
        <f>HYPERLINK("https://ca.dep.state.fl.us/mapdirect/?focus=oilandgas&amp;zoom=query&amp;querytype=oilandgas&amp;queryvalues=OG_918","OG_918_Map")</f>
        <v>OG_918_Map</v>
      </c>
      <c r="F959" s="1" t="s">
        <v>1682</v>
      </c>
      <c r="G959" s="1" t="s">
        <v>5133</v>
      </c>
      <c r="H959" s="1" t="s">
        <v>1363</v>
      </c>
      <c r="I959" s="1" t="s">
        <v>11438</v>
      </c>
      <c r="J959" s="64" t="s">
        <v>268</v>
      </c>
      <c r="K959" s="17" t="s">
        <v>412</v>
      </c>
      <c r="L959" s="17"/>
      <c r="M959" s="17"/>
      <c r="N959" s="52" t="s">
        <v>6046</v>
      </c>
      <c r="O959" s="17" t="s">
        <v>86</v>
      </c>
      <c r="P959" s="17" t="s">
        <v>86</v>
      </c>
      <c r="Q959" s="81" t="s">
        <v>11439</v>
      </c>
      <c r="R959" s="11">
        <v>30.981235000000002</v>
      </c>
      <c r="S959" s="11">
        <v>-87.191862999999998</v>
      </c>
      <c r="T959" s="11" t="s">
        <v>11440</v>
      </c>
      <c r="U959" s="11" t="s">
        <v>11441</v>
      </c>
      <c r="V959" s="17" t="s">
        <v>11442</v>
      </c>
      <c r="W959" s="17" t="s">
        <v>11443</v>
      </c>
      <c r="X959" s="70">
        <v>78.2</v>
      </c>
      <c r="Y959" s="70">
        <v>53.6</v>
      </c>
      <c r="Z959" s="13">
        <v>28416</v>
      </c>
      <c r="AA959" s="13">
        <v>28770</v>
      </c>
      <c r="AB959" s="13">
        <v>29125</v>
      </c>
      <c r="AC959" s="13">
        <v>41984</v>
      </c>
      <c r="AD959" s="86">
        <v>15526</v>
      </c>
      <c r="AE959" s="86">
        <v>16010</v>
      </c>
      <c r="AF959" s="70" t="s">
        <v>6803</v>
      </c>
      <c r="AG959" s="17" t="s">
        <v>11444</v>
      </c>
      <c r="AH959" s="17" t="s">
        <v>94</v>
      </c>
      <c r="AI959" s="70" t="s">
        <v>11445</v>
      </c>
      <c r="AJ959" s="17" t="s">
        <v>11446</v>
      </c>
      <c r="AK959" s="17" t="s">
        <v>94</v>
      </c>
      <c r="AL959" s="17" t="s">
        <v>11447</v>
      </c>
      <c r="AM959" s="17" t="s">
        <v>95</v>
      </c>
      <c r="AN959" s="17" t="s">
        <v>825</v>
      </c>
      <c r="AO959" s="17" t="s">
        <v>11448</v>
      </c>
      <c r="AP959" s="17" t="s">
        <v>11449</v>
      </c>
      <c r="AQ959" s="17" t="s">
        <v>425</v>
      </c>
      <c r="AR959" s="17" t="s">
        <v>11450</v>
      </c>
      <c r="AS959" s="17" t="s">
        <v>11451</v>
      </c>
      <c r="AT959" s="17"/>
      <c r="AU959" s="30" t="s">
        <v>11452</v>
      </c>
      <c r="AV959" s="14" t="s">
        <v>94</v>
      </c>
      <c r="AW959" s="74">
        <v>309832</v>
      </c>
      <c r="AX959" s="1"/>
      <c r="AY959" s="17" t="s">
        <v>101</v>
      </c>
    </row>
    <row r="960" spans="1:51" ht="12.75" customHeight="1" x14ac:dyDescent="0.25">
      <c r="A960" s="5">
        <v>919</v>
      </c>
      <c r="B960" s="9">
        <v>919</v>
      </c>
      <c r="C960" s="9" t="s">
        <v>11453</v>
      </c>
      <c r="D960" s="57" t="str">
        <f>HYPERLINK("http://prodenv.dep.state.fl.us/DepNexus/public/electronic-documents/OG_919/facility!search","OG_919_Docs")</f>
        <v>OG_919_Docs</v>
      </c>
      <c r="E960" s="57" t="str">
        <f>HYPERLINK("https://ca.dep.state.fl.us/mapdirect/?focus=oilandgas&amp;zoom=query&amp;querytype=oilandgas&amp;queryvalues=OG_919","OG_919_Map")</f>
        <v>OG_919_Map</v>
      </c>
      <c r="F960" s="1" t="s">
        <v>2026</v>
      </c>
      <c r="G960" s="1" t="s">
        <v>79</v>
      </c>
      <c r="H960" s="1" t="s">
        <v>11454</v>
      </c>
      <c r="I960" s="1" t="s">
        <v>11455</v>
      </c>
      <c r="J960" s="17" t="s">
        <v>82</v>
      </c>
      <c r="K960" s="17" t="s">
        <v>83</v>
      </c>
      <c r="L960" s="17"/>
      <c r="M960" s="17"/>
      <c r="N960" s="52" t="s">
        <v>7043</v>
      </c>
      <c r="O960" s="17" t="s">
        <v>86</v>
      </c>
      <c r="P960" s="17" t="s">
        <v>86</v>
      </c>
      <c r="Q960" s="81" t="s">
        <v>11456</v>
      </c>
      <c r="R960" s="11">
        <v>26.490518000000002</v>
      </c>
      <c r="S960" s="11">
        <v>-81.680417000000006</v>
      </c>
      <c r="T960" s="11" t="s">
        <v>11457</v>
      </c>
      <c r="U960" s="11" t="s">
        <v>11458</v>
      </c>
      <c r="V960" s="17" t="s">
        <v>11459</v>
      </c>
      <c r="W960" s="17" t="s">
        <v>110</v>
      </c>
      <c r="X960" s="70">
        <v>52</v>
      </c>
      <c r="Y960" s="70">
        <v>28</v>
      </c>
      <c r="Z960" s="13">
        <v>28416</v>
      </c>
      <c r="AA960" s="13">
        <v>28471</v>
      </c>
      <c r="AB960" s="13">
        <v>28495</v>
      </c>
      <c r="AC960" s="13">
        <v>28497</v>
      </c>
      <c r="AD960" s="86">
        <v>11890</v>
      </c>
      <c r="AE960" s="86">
        <v>11890</v>
      </c>
      <c r="AF960" s="70" t="s">
        <v>11460</v>
      </c>
      <c r="AG960" s="17" t="s">
        <v>11461</v>
      </c>
      <c r="AH960" s="17" t="s">
        <v>11462</v>
      </c>
      <c r="AI960" s="70" t="s">
        <v>94</v>
      </c>
      <c r="AJ960" s="17" t="s">
        <v>94</v>
      </c>
      <c r="AK960" s="17" t="s">
        <v>95</v>
      </c>
      <c r="AL960" s="17" t="s">
        <v>94</v>
      </c>
      <c r="AM960" s="17" t="s">
        <v>94</v>
      </c>
      <c r="AN960" s="17" t="s">
        <v>11463</v>
      </c>
      <c r="AO960" s="17" t="s">
        <v>98</v>
      </c>
      <c r="AP960" s="17" t="s">
        <v>98</v>
      </c>
      <c r="AQ960" s="17" t="s">
        <v>98</v>
      </c>
      <c r="AR960" s="17" t="s">
        <v>94</v>
      </c>
      <c r="AS960" s="17" t="s">
        <v>11464</v>
      </c>
      <c r="AT960" s="17"/>
      <c r="AU960" s="30" t="s">
        <v>11465</v>
      </c>
      <c r="AV960" s="14">
        <v>13851</v>
      </c>
      <c r="AW960" s="74"/>
      <c r="AX960" s="1"/>
      <c r="AY960" s="17" t="s">
        <v>101</v>
      </c>
    </row>
    <row r="961" spans="1:51" ht="15" customHeight="1" x14ac:dyDescent="0.25">
      <c r="A961" s="5">
        <v>920</v>
      </c>
      <c r="B961" s="9">
        <v>920</v>
      </c>
      <c r="C961" s="9" t="s">
        <v>11466</v>
      </c>
      <c r="D961" s="57" t="str">
        <f>HYPERLINK("http://prodenv.dep.state.fl.us/DepNexus/public/electronic-documents/OG_920/facility!search","OG_920_Docs")</f>
        <v>OG_920_Docs</v>
      </c>
      <c r="E961" s="57" t="str">
        <f>HYPERLINK("https://ca.dep.state.fl.us/mapdirect/?focus=oilandgas&amp;zoom=query&amp;querytype=oilandgas&amp;queryvalues=OG_920","OG_920_Map")</f>
        <v>OG_920_Map</v>
      </c>
      <c r="F961" s="1" t="s">
        <v>1797</v>
      </c>
      <c r="G961" s="1" t="s">
        <v>10981</v>
      </c>
      <c r="H961" s="1" t="s">
        <v>10982</v>
      </c>
      <c r="I961" s="1" t="s">
        <v>11467</v>
      </c>
      <c r="J961" s="17" t="s">
        <v>207</v>
      </c>
      <c r="K961" s="17" t="s">
        <v>208</v>
      </c>
      <c r="L961" s="17"/>
      <c r="M961" s="17" t="s">
        <v>207</v>
      </c>
      <c r="N961" s="52" t="s">
        <v>207</v>
      </c>
      <c r="O961" s="17" t="s">
        <v>1962</v>
      </c>
      <c r="P961" s="17" t="s">
        <v>86</v>
      </c>
      <c r="Q961" s="81" t="s">
        <v>11468</v>
      </c>
      <c r="R961" s="11">
        <v>30.939698</v>
      </c>
      <c r="S961" s="11">
        <v>-86.822941999999998</v>
      </c>
      <c r="T961" s="11" t="s">
        <v>11469</v>
      </c>
      <c r="U961" s="11" t="s">
        <v>11470</v>
      </c>
      <c r="V961" s="17" t="s">
        <v>11471</v>
      </c>
      <c r="W961" s="17" t="s">
        <v>110</v>
      </c>
      <c r="X961" s="70"/>
      <c r="Y961" s="70"/>
      <c r="Z961" s="13">
        <v>28430</v>
      </c>
      <c r="AA961" s="13"/>
      <c r="AB961" s="13"/>
      <c r="AC961" s="13"/>
      <c r="AD961" s="86"/>
      <c r="AE961" s="70"/>
      <c r="AF961" s="70" t="s">
        <v>207</v>
      </c>
      <c r="AG961" s="14" t="s">
        <v>207</v>
      </c>
      <c r="AH961" s="14" t="s">
        <v>207</v>
      </c>
      <c r="AI961" s="70" t="s">
        <v>207</v>
      </c>
      <c r="AJ961" s="14" t="s">
        <v>207</v>
      </c>
      <c r="AK961" s="14" t="s">
        <v>207</v>
      </c>
      <c r="AL961" s="14" t="s">
        <v>207</v>
      </c>
      <c r="AM961" s="14" t="s">
        <v>207</v>
      </c>
      <c r="AN961" s="14" t="s">
        <v>207</v>
      </c>
      <c r="AO961" s="14" t="s">
        <v>207</v>
      </c>
      <c r="AP961" s="14" t="s">
        <v>207</v>
      </c>
      <c r="AQ961" s="14" t="s">
        <v>207</v>
      </c>
      <c r="AR961" s="14" t="s">
        <v>207</v>
      </c>
      <c r="AS961" s="14" t="s">
        <v>207</v>
      </c>
      <c r="AT961" s="14" t="s">
        <v>207</v>
      </c>
      <c r="AU961" s="30" t="s">
        <v>11472</v>
      </c>
      <c r="AV961" s="14" t="s">
        <v>207</v>
      </c>
      <c r="AW961" s="74"/>
      <c r="AX961" s="1"/>
      <c r="AY961" s="17" t="s">
        <v>101</v>
      </c>
    </row>
    <row r="962" spans="1:51" ht="12.75" customHeight="1" x14ac:dyDescent="0.25">
      <c r="A962" s="5">
        <v>921</v>
      </c>
      <c r="B962" s="9">
        <v>921</v>
      </c>
      <c r="C962" s="9" t="s">
        <v>11473</v>
      </c>
      <c r="D962" s="57" t="str">
        <f>HYPERLINK("http://prodenv.dep.state.fl.us/DepNexus/public/electronic-documents/OG_921/facility!search","OG_921_Docs")</f>
        <v>OG_921_Docs</v>
      </c>
      <c r="E962" s="57" t="str">
        <f>HYPERLINK("https://ca.dep.state.fl.us/mapdirect/?focus=oilandgas&amp;zoom=query&amp;querytype=oilandgas&amp;queryvalues=OG_921","OG_921_Map")</f>
        <v>OG_921_Map</v>
      </c>
      <c r="F962" s="1" t="s">
        <v>1797</v>
      </c>
      <c r="G962" s="1" t="s">
        <v>10981</v>
      </c>
      <c r="H962" s="1" t="s">
        <v>10982</v>
      </c>
      <c r="I962" s="1" t="s">
        <v>11474</v>
      </c>
      <c r="J962" s="17" t="s">
        <v>207</v>
      </c>
      <c r="K962" s="17" t="s">
        <v>208</v>
      </c>
      <c r="L962" s="17"/>
      <c r="M962" s="17" t="s">
        <v>207</v>
      </c>
      <c r="N962" s="52" t="s">
        <v>207</v>
      </c>
      <c r="O962" s="17" t="s">
        <v>1962</v>
      </c>
      <c r="P962" s="17" t="s">
        <v>86</v>
      </c>
      <c r="Q962" s="81" t="s">
        <v>11475</v>
      </c>
      <c r="R962" s="11">
        <v>30.933392999999999</v>
      </c>
      <c r="S962" s="11">
        <v>-86.824725000000001</v>
      </c>
      <c r="T962" s="11" t="s">
        <v>11476</v>
      </c>
      <c r="U962" s="11" t="s">
        <v>11477</v>
      </c>
      <c r="V962" s="17" t="s">
        <v>11478</v>
      </c>
      <c r="W962" s="17" t="s">
        <v>110</v>
      </c>
      <c r="X962" s="70"/>
      <c r="Y962" s="70"/>
      <c r="Z962" s="13">
        <v>28430</v>
      </c>
      <c r="AA962" s="13"/>
      <c r="AB962" s="13"/>
      <c r="AC962" s="13"/>
      <c r="AD962" s="86"/>
      <c r="AE962" s="70"/>
      <c r="AF962" s="70" t="s">
        <v>207</v>
      </c>
      <c r="AG962" s="14" t="s">
        <v>207</v>
      </c>
      <c r="AH962" s="14" t="s">
        <v>207</v>
      </c>
      <c r="AI962" s="70" t="s">
        <v>207</v>
      </c>
      <c r="AJ962" s="14" t="s">
        <v>207</v>
      </c>
      <c r="AK962" s="14" t="s">
        <v>207</v>
      </c>
      <c r="AL962" s="14" t="s">
        <v>207</v>
      </c>
      <c r="AM962" s="14" t="s">
        <v>207</v>
      </c>
      <c r="AN962" s="14" t="s">
        <v>207</v>
      </c>
      <c r="AO962" s="14" t="s">
        <v>207</v>
      </c>
      <c r="AP962" s="14" t="s">
        <v>207</v>
      </c>
      <c r="AQ962" s="14" t="s">
        <v>207</v>
      </c>
      <c r="AR962" s="14" t="s">
        <v>207</v>
      </c>
      <c r="AS962" s="14" t="s">
        <v>207</v>
      </c>
      <c r="AT962" s="14" t="s">
        <v>207</v>
      </c>
      <c r="AU962" s="30" t="s">
        <v>11479</v>
      </c>
      <c r="AV962" s="14" t="s">
        <v>207</v>
      </c>
      <c r="AW962" s="74"/>
      <c r="AX962" s="1"/>
      <c r="AY962" s="17" t="s">
        <v>101</v>
      </c>
    </row>
    <row r="963" spans="1:51" ht="12.75" customHeight="1" x14ac:dyDescent="0.25">
      <c r="A963" s="5">
        <v>922</v>
      </c>
      <c r="B963" s="9">
        <v>922</v>
      </c>
      <c r="C963" s="9" t="s">
        <v>11480</v>
      </c>
      <c r="D963" s="57" t="str">
        <f>HYPERLINK("http://prodenv.dep.state.fl.us/DepNexus/public/electronic-documents/OG_922/facility!search","OG_922_Docs")</f>
        <v>OG_922_Docs</v>
      </c>
      <c r="E963" s="57" t="str">
        <f>HYPERLINK("https://ca.dep.state.fl.us/mapdirect/?focus=oilandgas&amp;zoom=query&amp;querytype=oilandgas&amp;queryvalues=OG_922","OG_922_Map")</f>
        <v>OG_922_Map</v>
      </c>
      <c r="F963" s="1" t="s">
        <v>265</v>
      </c>
      <c r="G963" s="1" t="s">
        <v>79</v>
      </c>
      <c r="H963" s="1" t="s">
        <v>4950</v>
      </c>
      <c r="I963" s="1" t="s">
        <v>11481</v>
      </c>
      <c r="J963" s="17" t="s">
        <v>207</v>
      </c>
      <c r="K963" s="17" t="s">
        <v>208</v>
      </c>
      <c r="L963" s="17"/>
      <c r="M963" s="17" t="s">
        <v>207</v>
      </c>
      <c r="N963" s="52" t="s">
        <v>207</v>
      </c>
      <c r="O963" s="17" t="s">
        <v>86</v>
      </c>
      <c r="P963" s="17" t="s">
        <v>86</v>
      </c>
      <c r="Q963" s="81" t="s">
        <v>11482</v>
      </c>
      <c r="R963" s="11">
        <v>26.442938000000002</v>
      </c>
      <c r="S963" s="11">
        <v>-81.446922000000001</v>
      </c>
      <c r="T963" s="11" t="s">
        <v>11483</v>
      </c>
      <c r="U963" s="11" t="s">
        <v>11484</v>
      </c>
      <c r="V963" s="17" t="s">
        <v>11485</v>
      </c>
      <c r="W963" s="17" t="s">
        <v>110</v>
      </c>
      <c r="X963" s="70"/>
      <c r="Y963" s="70"/>
      <c r="Z963" s="13">
        <v>28430</v>
      </c>
      <c r="AA963" s="13"/>
      <c r="AB963" s="13"/>
      <c r="AC963" s="13"/>
      <c r="AD963" s="86"/>
      <c r="AE963" s="70"/>
      <c r="AF963" s="70" t="s">
        <v>207</v>
      </c>
      <c r="AG963" s="14" t="s">
        <v>207</v>
      </c>
      <c r="AH963" s="14" t="s">
        <v>207</v>
      </c>
      <c r="AI963" s="70" t="s">
        <v>207</v>
      </c>
      <c r="AJ963" s="14" t="s">
        <v>207</v>
      </c>
      <c r="AK963" s="14" t="s">
        <v>207</v>
      </c>
      <c r="AL963" s="14" t="s">
        <v>207</v>
      </c>
      <c r="AM963" s="14" t="s">
        <v>207</v>
      </c>
      <c r="AN963" s="14" t="s">
        <v>207</v>
      </c>
      <c r="AO963" s="14" t="s">
        <v>207</v>
      </c>
      <c r="AP963" s="14" t="s">
        <v>207</v>
      </c>
      <c r="AQ963" s="14" t="s">
        <v>207</v>
      </c>
      <c r="AR963" s="14" t="s">
        <v>207</v>
      </c>
      <c r="AS963" s="14" t="s">
        <v>207</v>
      </c>
      <c r="AT963" s="14" t="s">
        <v>207</v>
      </c>
      <c r="AU963" s="30" t="s">
        <v>11486</v>
      </c>
      <c r="AV963" s="14" t="s">
        <v>207</v>
      </c>
      <c r="AW963" s="74"/>
      <c r="AX963" s="1"/>
      <c r="AY963" s="17" t="s">
        <v>101</v>
      </c>
    </row>
    <row r="964" spans="1:51" ht="12.75" customHeight="1" x14ac:dyDescent="0.25">
      <c r="A964" s="5">
        <v>923</v>
      </c>
      <c r="B964" s="9">
        <v>923</v>
      </c>
      <c r="C964" s="9" t="s">
        <v>11487</v>
      </c>
      <c r="D964" s="57" t="str">
        <f>HYPERLINK("http://prodenv.dep.state.fl.us/DepNexus/public/electronic-documents/OG_923/facility!search","OG_923_Docs")</f>
        <v>OG_923_Docs</v>
      </c>
      <c r="E964" s="57" t="str">
        <f>HYPERLINK("https://ca.dep.state.fl.us/mapdirect/?focus=oilandgas&amp;zoom=query&amp;querytype=oilandgas&amp;queryvalues=OG_923","OG_923_Map")</f>
        <v>OG_923_Map</v>
      </c>
      <c r="F964" s="1" t="s">
        <v>1797</v>
      </c>
      <c r="G964" s="1" t="s">
        <v>5133</v>
      </c>
      <c r="H964" s="1" t="s">
        <v>1363</v>
      </c>
      <c r="I964" s="1" t="s">
        <v>11488</v>
      </c>
      <c r="J964" s="17" t="s">
        <v>3646</v>
      </c>
      <c r="K964" s="17" t="s">
        <v>412</v>
      </c>
      <c r="L964" s="17"/>
      <c r="M964" s="17"/>
      <c r="N964" s="52" t="s">
        <v>11172</v>
      </c>
      <c r="O964" s="17" t="s">
        <v>86</v>
      </c>
      <c r="P964" s="17" t="s">
        <v>86</v>
      </c>
      <c r="Q964" s="81" t="s">
        <v>6436</v>
      </c>
      <c r="R964" s="11">
        <v>30.974222999999999</v>
      </c>
      <c r="S964" s="11">
        <v>-87.164184000000006</v>
      </c>
      <c r="T964" s="11" t="s">
        <v>11489</v>
      </c>
      <c r="U964" s="11" t="s">
        <v>11490</v>
      </c>
      <c r="V964" s="17" t="s">
        <v>11491</v>
      </c>
      <c r="W964" s="17" t="s">
        <v>110</v>
      </c>
      <c r="X964" s="70">
        <v>202</v>
      </c>
      <c r="Y964" s="70">
        <v>176</v>
      </c>
      <c r="Z964" s="13">
        <v>28451</v>
      </c>
      <c r="AA964" s="13">
        <v>28501</v>
      </c>
      <c r="AB964" s="13">
        <v>28690</v>
      </c>
      <c r="AC964" s="13"/>
      <c r="AD964" s="86">
        <v>15635</v>
      </c>
      <c r="AE964" s="86">
        <v>15635</v>
      </c>
      <c r="AF964" s="70" t="s">
        <v>11492</v>
      </c>
      <c r="AG964" s="17" t="s">
        <v>11493</v>
      </c>
      <c r="AH964" s="17" t="s">
        <v>94</v>
      </c>
      <c r="AI964" s="70" t="s">
        <v>11494</v>
      </c>
      <c r="AJ964" s="17" t="s">
        <v>11495</v>
      </c>
      <c r="AK964" s="17" t="s">
        <v>94</v>
      </c>
      <c r="AL964" s="17" t="s">
        <v>11496</v>
      </c>
      <c r="AM964" s="17" t="s">
        <v>95</v>
      </c>
      <c r="AN964" s="17" t="s">
        <v>86</v>
      </c>
      <c r="AO964" s="17" t="s">
        <v>11497</v>
      </c>
      <c r="AP964" s="17" t="s">
        <v>11498</v>
      </c>
      <c r="AQ964" s="17" t="s">
        <v>425</v>
      </c>
      <c r="AR964" s="17" t="s">
        <v>11499</v>
      </c>
      <c r="AS964" s="17"/>
      <c r="AT964" s="17">
        <v>250</v>
      </c>
      <c r="AU964" s="30" t="s">
        <v>11500</v>
      </c>
      <c r="AV964" s="14">
        <v>13845</v>
      </c>
      <c r="AW964" s="74">
        <v>309900</v>
      </c>
      <c r="AX964" s="1"/>
      <c r="AY964" s="17" t="s">
        <v>101</v>
      </c>
    </row>
    <row r="965" spans="1:51" ht="12.75" customHeight="1" x14ac:dyDescent="0.25">
      <c r="A965" s="5">
        <v>924</v>
      </c>
      <c r="B965" s="9">
        <v>924</v>
      </c>
      <c r="C965" s="9" t="s">
        <v>11501</v>
      </c>
      <c r="D965" s="57" t="str">
        <f>HYPERLINK("http://prodenv.dep.state.fl.us/DepNexus/public/electronic-documents/OG_924/facility!search","OG_924_Docs")</f>
        <v>OG_924_Docs</v>
      </c>
      <c r="E965" s="57" t="str">
        <f>HYPERLINK("https://ca.dep.state.fl.us/mapdirect/?focus=oilandgas&amp;zoom=query&amp;querytype=oilandgas&amp;queryvalues=OG_924","OG_924_Map")</f>
        <v>OG_924_Map</v>
      </c>
      <c r="F965" s="1" t="s">
        <v>1797</v>
      </c>
      <c r="G965" s="1" t="s">
        <v>6648</v>
      </c>
      <c r="H965" s="1" t="s">
        <v>11502</v>
      </c>
      <c r="I965" s="1" t="s">
        <v>10213</v>
      </c>
      <c r="J965" s="17" t="s">
        <v>268</v>
      </c>
      <c r="K965" s="17" t="s">
        <v>6189</v>
      </c>
      <c r="L965" s="17"/>
      <c r="M965" s="17"/>
      <c r="N965" s="52" t="s">
        <v>11503</v>
      </c>
      <c r="O965" s="17" t="s">
        <v>86</v>
      </c>
      <c r="P965" s="17" t="s">
        <v>86</v>
      </c>
      <c r="Q965" s="81" t="s">
        <v>7515</v>
      </c>
      <c r="R965" s="11">
        <v>30.850711</v>
      </c>
      <c r="S965" s="11">
        <v>-87.112977999999998</v>
      </c>
      <c r="T965" s="11" t="s">
        <v>11504</v>
      </c>
      <c r="U965" s="11" t="s">
        <v>11505</v>
      </c>
      <c r="V965" s="17" t="s">
        <v>11506</v>
      </c>
      <c r="W965" s="17" t="s">
        <v>110</v>
      </c>
      <c r="X965" s="70">
        <v>165</v>
      </c>
      <c r="Y965" s="70">
        <v>150</v>
      </c>
      <c r="Z965" s="13">
        <v>28451</v>
      </c>
      <c r="AA965" s="13">
        <v>29840</v>
      </c>
      <c r="AB965" s="13">
        <v>29930</v>
      </c>
      <c r="AC965" s="13">
        <v>33451</v>
      </c>
      <c r="AD965" s="86">
        <v>6868</v>
      </c>
      <c r="AE965" s="86">
        <v>6868</v>
      </c>
      <c r="AF965" s="70" t="s">
        <v>94</v>
      </c>
      <c r="AG965" s="17" t="s">
        <v>11507</v>
      </c>
      <c r="AH965" s="17" t="s">
        <v>94</v>
      </c>
      <c r="AI965" s="70" t="s">
        <v>11508</v>
      </c>
      <c r="AJ965" s="17" t="s">
        <v>11509</v>
      </c>
      <c r="AK965" s="17" t="s">
        <v>94</v>
      </c>
      <c r="AL965" s="17" t="s">
        <v>94</v>
      </c>
      <c r="AM965" s="17" t="s">
        <v>94</v>
      </c>
      <c r="AN965" s="17" t="s">
        <v>94</v>
      </c>
      <c r="AO965" s="17" t="s">
        <v>94</v>
      </c>
      <c r="AP965" s="17" t="s">
        <v>94</v>
      </c>
      <c r="AQ965" s="17" t="s">
        <v>94</v>
      </c>
      <c r="AR965" s="17" t="s">
        <v>11510</v>
      </c>
      <c r="AS965" s="17" t="s">
        <v>11511</v>
      </c>
      <c r="AT965" s="17"/>
      <c r="AU965" s="30" t="s">
        <v>11512</v>
      </c>
      <c r="AV965" s="14" t="s">
        <v>94</v>
      </c>
      <c r="AW965" s="74"/>
      <c r="AX965" s="24" t="s">
        <v>11513</v>
      </c>
      <c r="AY965" s="17" t="s">
        <v>101</v>
      </c>
    </row>
    <row r="966" spans="1:51" ht="15" customHeight="1" x14ac:dyDescent="0.25">
      <c r="A966" s="5">
        <v>925</v>
      </c>
      <c r="B966" s="9">
        <v>925</v>
      </c>
      <c r="C966" s="9" t="s">
        <v>11514</v>
      </c>
      <c r="D966" s="57" t="str">
        <f>HYPERLINK("http://prodenv.dep.state.fl.us/DepNexus/public/electronic-documents/OG_925/facility!search","OG_925_Docs")</f>
        <v>OG_925_Docs</v>
      </c>
      <c r="E966" s="57" t="str">
        <f>HYPERLINK("https://ca.dep.state.fl.us/mapdirect/?focus=oilandgas&amp;zoom=query&amp;querytype=oilandgas&amp;queryvalues=OG_925","OG_925_Map")</f>
        <v>OG_925_Map</v>
      </c>
      <c r="F966" s="1" t="s">
        <v>1752</v>
      </c>
      <c r="G966" s="1" t="s">
        <v>11251</v>
      </c>
      <c r="H966" s="1" t="s">
        <v>11252</v>
      </c>
      <c r="I966" s="1" t="s">
        <v>11515</v>
      </c>
      <c r="J966" s="17" t="s">
        <v>1365</v>
      </c>
      <c r="K966" s="17" t="s">
        <v>5975</v>
      </c>
      <c r="L966" s="17"/>
      <c r="M966" s="17"/>
      <c r="N966" s="52" t="s">
        <v>11516</v>
      </c>
      <c r="O966" s="17" t="s">
        <v>86</v>
      </c>
      <c r="P966" s="17" t="s">
        <v>86</v>
      </c>
      <c r="Q966" s="81" t="s">
        <v>11517</v>
      </c>
      <c r="R966" s="11">
        <v>26.531739000000002</v>
      </c>
      <c r="S966" s="11">
        <v>-81.510828000000004</v>
      </c>
      <c r="T966" s="11" t="s">
        <v>11518</v>
      </c>
      <c r="U966" s="11" t="s">
        <v>11519</v>
      </c>
      <c r="V966" s="17" t="s">
        <v>11520</v>
      </c>
      <c r="W966" s="17" t="s">
        <v>110</v>
      </c>
      <c r="X966" s="70">
        <v>56</v>
      </c>
      <c r="Y966" s="70">
        <v>32</v>
      </c>
      <c r="Z966" s="13">
        <v>28451</v>
      </c>
      <c r="AA966" s="13">
        <v>28476</v>
      </c>
      <c r="AB966" s="13">
        <v>28504</v>
      </c>
      <c r="AC966" s="13"/>
      <c r="AD966" s="86">
        <v>11690</v>
      </c>
      <c r="AE966" s="86">
        <v>11690</v>
      </c>
      <c r="AF966" s="70" t="s">
        <v>11521</v>
      </c>
      <c r="AG966" s="17" t="s">
        <v>11522</v>
      </c>
      <c r="AH966" s="17" t="s">
        <v>5257</v>
      </c>
      <c r="AI966" s="70" t="s">
        <v>11523</v>
      </c>
      <c r="AJ966" s="17" t="s">
        <v>11524</v>
      </c>
      <c r="AK966" s="17" t="s">
        <v>95</v>
      </c>
      <c r="AL966" s="17" t="s">
        <v>11264</v>
      </c>
      <c r="AM966" s="17" t="s">
        <v>94</v>
      </c>
      <c r="AN966" s="17" t="s">
        <v>11525</v>
      </c>
      <c r="AO966" s="17" t="s">
        <v>94</v>
      </c>
      <c r="AP966" s="17" t="s">
        <v>94</v>
      </c>
      <c r="AQ966" s="17" t="s">
        <v>94</v>
      </c>
      <c r="AR966" s="17" t="s">
        <v>94</v>
      </c>
      <c r="AS966" s="17" t="s">
        <v>11526</v>
      </c>
      <c r="AT966" s="17">
        <v>157</v>
      </c>
      <c r="AU966" s="30" t="s">
        <v>11527</v>
      </c>
      <c r="AV966" s="14">
        <v>13830</v>
      </c>
      <c r="AW966" s="74">
        <v>304597</v>
      </c>
      <c r="AX966" s="1" t="s">
        <v>11528</v>
      </c>
      <c r="AY966" s="17" t="s">
        <v>101</v>
      </c>
    </row>
    <row r="967" spans="1:51" ht="12.75" customHeight="1" x14ac:dyDescent="0.25">
      <c r="A967" s="5">
        <v>926</v>
      </c>
      <c r="B967" s="9">
        <v>926</v>
      </c>
      <c r="C967" s="9" t="s">
        <v>11529</v>
      </c>
      <c r="D967" s="57" t="str">
        <f>HYPERLINK("http://prodenv.dep.state.fl.us/DepNexus/public/electronic-documents/OG_926/facility!search","OG_926_Docs")</f>
        <v>OG_926_Docs</v>
      </c>
      <c r="E967" s="57" t="str">
        <f>HYPERLINK("https://ca.dep.state.fl.us/mapdirect/?focus=oilandgas&amp;zoom=query&amp;querytype=oilandgas&amp;queryvalues=OG_926","OG_926_Map")</f>
        <v>OG_926_Map</v>
      </c>
      <c r="F967" s="1" t="s">
        <v>1752</v>
      </c>
      <c r="G967" s="1" t="s">
        <v>11251</v>
      </c>
      <c r="H967" s="1" t="s">
        <v>11454</v>
      </c>
      <c r="I967" s="1" t="s">
        <v>11530</v>
      </c>
      <c r="J967" s="17" t="s">
        <v>82</v>
      </c>
      <c r="K967" s="17" t="s">
        <v>83</v>
      </c>
      <c r="L967" s="17"/>
      <c r="M967" s="17" t="s">
        <v>101</v>
      </c>
      <c r="N967" s="52" t="s">
        <v>7043</v>
      </c>
      <c r="O967" s="17" t="s">
        <v>86</v>
      </c>
      <c r="P967" s="17" t="s">
        <v>86</v>
      </c>
      <c r="Q967" s="81" t="s">
        <v>11531</v>
      </c>
      <c r="R967" s="11">
        <v>26.524522999999999</v>
      </c>
      <c r="S967" s="11">
        <v>-81.502532000000002</v>
      </c>
      <c r="T967" s="11" t="s">
        <v>11532</v>
      </c>
      <c r="U967" s="11" t="s">
        <v>11533</v>
      </c>
      <c r="V967" s="17" t="s">
        <v>11534</v>
      </c>
      <c r="W967" s="17" t="s">
        <v>110</v>
      </c>
      <c r="X967" s="70">
        <v>60.5</v>
      </c>
      <c r="Y967" s="70">
        <v>34</v>
      </c>
      <c r="Z967" s="13">
        <v>28451</v>
      </c>
      <c r="AA967" s="13">
        <v>28545</v>
      </c>
      <c r="AB967" s="13"/>
      <c r="AC967" s="13">
        <v>28580</v>
      </c>
      <c r="AD967" s="86">
        <v>11705</v>
      </c>
      <c r="AE967" s="86">
        <v>11705</v>
      </c>
      <c r="AF967" s="70" t="s">
        <v>11535</v>
      </c>
      <c r="AG967" s="17" t="s">
        <v>11536</v>
      </c>
      <c r="AH967" s="17" t="s">
        <v>11537</v>
      </c>
      <c r="AI967" s="70" t="s">
        <v>94</v>
      </c>
      <c r="AJ967" s="17" t="s">
        <v>94</v>
      </c>
      <c r="AK967" s="17" t="s">
        <v>95</v>
      </c>
      <c r="AL967" s="17" t="s">
        <v>94</v>
      </c>
      <c r="AM967" s="17" t="s">
        <v>94</v>
      </c>
      <c r="AN967" s="17" t="s">
        <v>11538</v>
      </c>
      <c r="AO967" s="17" t="s">
        <v>98</v>
      </c>
      <c r="AP967" s="17" t="s">
        <v>98</v>
      </c>
      <c r="AQ967" s="17" t="s">
        <v>98</v>
      </c>
      <c r="AR967" s="17" t="s">
        <v>94</v>
      </c>
      <c r="AS967" s="17" t="s">
        <v>11539</v>
      </c>
      <c r="AT967" s="17">
        <v>173</v>
      </c>
      <c r="AU967" s="30" t="s">
        <v>11540</v>
      </c>
      <c r="AV967" s="14">
        <v>13927</v>
      </c>
      <c r="AW967" s="74"/>
      <c r="AX967" s="1"/>
      <c r="AY967" s="17" t="s">
        <v>101</v>
      </c>
    </row>
    <row r="968" spans="1:51" ht="15" customHeight="1" x14ac:dyDescent="0.25">
      <c r="A968" s="5">
        <v>927</v>
      </c>
      <c r="B968" s="9">
        <v>927</v>
      </c>
      <c r="C968" s="9" t="s">
        <v>11541</v>
      </c>
      <c r="D968" s="57" t="str">
        <f>HYPERLINK("http://prodenv.dep.state.fl.us/DepNexus/public/electronic-documents/OG_927/facility!search","OG_927_Docs")</f>
        <v>OG_927_Docs</v>
      </c>
      <c r="E968" s="57" t="str">
        <f>HYPERLINK("https://ca.dep.state.fl.us/mapdirect/?focus=oilandgas&amp;zoom=query&amp;querytype=oilandgas&amp;queryvalues=OG_927","OG_927_Map")</f>
        <v>OG_927_Map</v>
      </c>
      <c r="F968" s="1" t="s">
        <v>1752</v>
      </c>
      <c r="G968" s="1" t="s">
        <v>11251</v>
      </c>
      <c r="H968" s="1" t="s">
        <v>11454</v>
      </c>
      <c r="I968" s="1" t="s">
        <v>11542</v>
      </c>
      <c r="J968" s="17" t="s">
        <v>207</v>
      </c>
      <c r="K968" s="17" t="s">
        <v>208</v>
      </c>
      <c r="L968" s="17"/>
      <c r="M968" s="17" t="s">
        <v>207</v>
      </c>
      <c r="N968" s="52" t="s">
        <v>207</v>
      </c>
      <c r="O968" s="17" t="s">
        <v>86</v>
      </c>
      <c r="P968" s="17" t="s">
        <v>86</v>
      </c>
      <c r="Q968" s="81" t="s">
        <v>11543</v>
      </c>
      <c r="R968" s="11">
        <v>26.524515999999998</v>
      </c>
      <c r="S968" s="11">
        <v>-81.510366000000005</v>
      </c>
      <c r="T968" s="11" t="s">
        <v>11544</v>
      </c>
      <c r="U968" s="11" t="s">
        <v>11545</v>
      </c>
      <c r="V968" s="17" t="s">
        <v>11546</v>
      </c>
      <c r="W968" s="17" t="s">
        <v>110</v>
      </c>
      <c r="X968" s="70"/>
      <c r="Y968" s="70"/>
      <c r="Z968" s="13">
        <v>28451</v>
      </c>
      <c r="AA968" s="13"/>
      <c r="AB968" s="13"/>
      <c r="AC968" s="13"/>
      <c r="AD968" s="86"/>
      <c r="AE968" s="70"/>
      <c r="AF968" s="70" t="s">
        <v>207</v>
      </c>
      <c r="AG968" s="14" t="s">
        <v>207</v>
      </c>
      <c r="AH968" s="14" t="s">
        <v>207</v>
      </c>
      <c r="AI968" s="70" t="s">
        <v>207</v>
      </c>
      <c r="AJ968" s="14" t="s">
        <v>207</v>
      </c>
      <c r="AK968" s="14" t="s">
        <v>207</v>
      </c>
      <c r="AL968" s="14" t="s">
        <v>207</v>
      </c>
      <c r="AM968" s="14" t="s">
        <v>207</v>
      </c>
      <c r="AN968" s="14" t="s">
        <v>207</v>
      </c>
      <c r="AO968" s="14" t="s">
        <v>207</v>
      </c>
      <c r="AP968" s="14" t="s">
        <v>207</v>
      </c>
      <c r="AQ968" s="14" t="s">
        <v>207</v>
      </c>
      <c r="AR968" s="14" t="s">
        <v>207</v>
      </c>
      <c r="AS968" s="14" t="s">
        <v>207</v>
      </c>
      <c r="AT968" s="14" t="s">
        <v>207</v>
      </c>
      <c r="AU968" s="30" t="s">
        <v>11547</v>
      </c>
      <c r="AV968" s="14" t="s">
        <v>207</v>
      </c>
      <c r="AW968" s="74"/>
      <c r="AX968" s="1"/>
      <c r="AY968" s="17" t="s">
        <v>101</v>
      </c>
    </row>
    <row r="969" spans="1:51" ht="12.75" customHeight="1" x14ac:dyDescent="0.25">
      <c r="A969" s="5">
        <v>928</v>
      </c>
      <c r="B969" s="9">
        <v>928</v>
      </c>
      <c r="C969" s="9" t="s">
        <v>11548</v>
      </c>
      <c r="D969" s="57" t="str">
        <f>HYPERLINK("http://prodenv.dep.state.fl.us/DepNexus/public/electronic-documents/OG_928/facility!search","OG_928_Docs")</f>
        <v>OG_928_Docs</v>
      </c>
      <c r="E969" s="57" t="str">
        <f>HYPERLINK("https://ca.dep.state.fl.us/mapdirect/?focus=oilandgas&amp;zoom=query&amp;querytype=oilandgas&amp;queryvalues=OG_928","OG_928_Map")</f>
        <v>OG_928_Map</v>
      </c>
      <c r="F969" s="1" t="s">
        <v>265</v>
      </c>
      <c r="G969" s="1" t="s">
        <v>10452</v>
      </c>
      <c r="H969" s="1" t="s">
        <v>8318</v>
      </c>
      <c r="I969" s="1" t="s">
        <v>11549</v>
      </c>
      <c r="J969" s="17" t="s">
        <v>268</v>
      </c>
      <c r="K969" s="17" t="s">
        <v>2105</v>
      </c>
      <c r="L969" s="17"/>
      <c r="M969" s="17" t="s">
        <v>101</v>
      </c>
      <c r="N969" s="52" t="s">
        <v>7568</v>
      </c>
      <c r="O969" s="17" t="s">
        <v>270</v>
      </c>
      <c r="P969" s="17" t="s">
        <v>3395</v>
      </c>
      <c r="Q969" s="81" t="s">
        <v>11550</v>
      </c>
      <c r="R969" s="11">
        <v>25.984189000000001</v>
      </c>
      <c r="S969" s="11">
        <v>-80.900312</v>
      </c>
      <c r="T969" s="11" t="s">
        <v>11551</v>
      </c>
      <c r="U969" s="11" t="s">
        <v>11552</v>
      </c>
      <c r="V969" s="17" t="s">
        <v>11553</v>
      </c>
      <c r="W969" s="17" t="s">
        <v>110</v>
      </c>
      <c r="X969" s="70">
        <v>35.299999999999997</v>
      </c>
      <c r="Y969" s="70">
        <v>12</v>
      </c>
      <c r="Z969" s="13">
        <v>28451</v>
      </c>
      <c r="AA969" s="13">
        <v>28947</v>
      </c>
      <c r="AB969" s="13">
        <v>28740</v>
      </c>
      <c r="AC969" s="13">
        <v>36222</v>
      </c>
      <c r="AD969" s="86">
        <v>12991</v>
      </c>
      <c r="AE969" s="86">
        <v>12991</v>
      </c>
      <c r="AF969" s="70" t="s">
        <v>10464</v>
      </c>
      <c r="AG969" s="17" t="s">
        <v>11554</v>
      </c>
      <c r="AH969" s="17" t="s">
        <v>11555</v>
      </c>
      <c r="AI969" s="70" t="s">
        <v>11556</v>
      </c>
      <c r="AJ969" s="17" t="s">
        <v>11557</v>
      </c>
      <c r="AK969" s="17" t="s">
        <v>95</v>
      </c>
      <c r="AL969" s="17" t="s">
        <v>11558</v>
      </c>
      <c r="AM969" s="17" t="s">
        <v>95</v>
      </c>
      <c r="AN969" s="17" t="s">
        <v>11559</v>
      </c>
      <c r="AO969" s="17" t="s">
        <v>11560</v>
      </c>
      <c r="AP969" s="17" t="s">
        <v>11561</v>
      </c>
      <c r="AQ969" s="17" t="s">
        <v>11562</v>
      </c>
      <c r="AR969" s="17" t="s">
        <v>11563</v>
      </c>
      <c r="AS969" s="17" t="s">
        <v>11564</v>
      </c>
      <c r="AT969" s="17"/>
      <c r="AU969" s="30" t="s">
        <v>11565</v>
      </c>
      <c r="AV969" s="14">
        <v>14294</v>
      </c>
      <c r="AW969" s="74"/>
      <c r="AX969" s="1"/>
      <c r="AY969" s="17" t="s">
        <v>101</v>
      </c>
    </row>
    <row r="970" spans="1:51" ht="12.75" customHeight="1" x14ac:dyDescent="0.25">
      <c r="A970" s="5">
        <v>929</v>
      </c>
      <c r="B970" s="9">
        <v>929</v>
      </c>
      <c r="C970" s="9" t="s">
        <v>11566</v>
      </c>
      <c r="D970" s="57" t="str">
        <f>HYPERLINK("http://prodenv.dep.state.fl.us/DepNexus/public/electronic-documents/OG_929/facility!search","OG_929_Docs")</f>
        <v>OG_929_Docs</v>
      </c>
      <c r="E970" s="57" t="str">
        <f>HYPERLINK("https://ca.dep.state.fl.us/mapdirect/?focus=oilandgas&amp;zoom=query&amp;querytype=oilandgas&amp;queryvalues=OG_929","OG_929_Map")</f>
        <v>OG_929_Map</v>
      </c>
      <c r="F970" s="1" t="s">
        <v>1797</v>
      </c>
      <c r="G970" s="1" t="s">
        <v>79</v>
      </c>
      <c r="H970" s="1" t="s">
        <v>8609</v>
      </c>
      <c r="I970" s="1" t="s">
        <v>11567</v>
      </c>
      <c r="J970" s="17" t="s">
        <v>82</v>
      </c>
      <c r="K970" s="17" t="s">
        <v>83</v>
      </c>
      <c r="L970" s="17"/>
      <c r="M970" s="17" t="s">
        <v>101</v>
      </c>
      <c r="N970" s="52" t="s">
        <v>9617</v>
      </c>
      <c r="O970" s="17" t="s">
        <v>86</v>
      </c>
      <c r="P970" s="17" t="s">
        <v>86</v>
      </c>
      <c r="Q970" s="81" t="s">
        <v>11568</v>
      </c>
      <c r="R970" s="11">
        <v>30.844094999999999</v>
      </c>
      <c r="S970" s="11">
        <v>-86.995007999999999</v>
      </c>
      <c r="T970" s="11" t="s">
        <v>11569</v>
      </c>
      <c r="U970" s="11" t="s">
        <v>11570</v>
      </c>
      <c r="V970" s="17" t="s">
        <v>11571</v>
      </c>
      <c r="W970" s="17" t="s">
        <v>110</v>
      </c>
      <c r="X970" s="70">
        <v>100.8</v>
      </c>
      <c r="Y970" s="70">
        <v>82.8</v>
      </c>
      <c r="Z970" s="13">
        <v>28465</v>
      </c>
      <c r="AA970" s="13">
        <v>28142</v>
      </c>
      <c r="AB970" s="13">
        <v>28551</v>
      </c>
      <c r="AC970" s="13">
        <v>28601</v>
      </c>
      <c r="AD970" s="86">
        <v>15932</v>
      </c>
      <c r="AE970" s="86">
        <v>15932</v>
      </c>
      <c r="AF970" s="70" t="s">
        <v>94</v>
      </c>
      <c r="AG970" s="17" t="s">
        <v>11572</v>
      </c>
      <c r="AH970" s="17" t="s">
        <v>94</v>
      </c>
      <c r="AI970" s="70" t="s">
        <v>94</v>
      </c>
      <c r="AJ970" s="17" t="s">
        <v>94</v>
      </c>
      <c r="AK970" s="17" t="s">
        <v>94</v>
      </c>
      <c r="AL970" s="17" t="s">
        <v>11573</v>
      </c>
      <c r="AM970" s="17" t="s">
        <v>95</v>
      </c>
      <c r="AN970" s="17" t="s">
        <v>94</v>
      </c>
      <c r="AO970" s="17" t="s">
        <v>98</v>
      </c>
      <c r="AP970" s="17" t="s">
        <v>98</v>
      </c>
      <c r="AQ970" s="17" t="s">
        <v>98</v>
      </c>
      <c r="AR970" s="17" t="s">
        <v>94</v>
      </c>
      <c r="AS970" s="17" t="s">
        <v>11574</v>
      </c>
      <c r="AT970" s="17"/>
      <c r="AU970" s="30" t="s">
        <v>11575</v>
      </c>
      <c r="AV970" s="14" t="s">
        <v>94</v>
      </c>
      <c r="AW970" s="74"/>
      <c r="AX970" s="1"/>
      <c r="AY970" s="17" t="s">
        <v>101</v>
      </c>
    </row>
    <row r="971" spans="1:51" ht="15" customHeight="1" x14ac:dyDescent="0.25">
      <c r="A971" s="5">
        <v>930</v>
      </c>
      <c r="B971" s="9">
        <v>930</v>
      </c>
      <c r="C971" s="9" t="s">
        <v>11576</v>
      </c>
      <c r="D971" s="57" t="str">
        <f>HYPERLINK("http://prodenv.dep.state.fl.us/DepNexus/public/electronic-documents/OG_930/facility!search","OG_930_Docs")</f>
        <v>OG_930_Docs</v>
      </c>
      <c r="E971" s="57" t="str">
        <f>HYPERLINK("https://ca.dep.state.fl.us/mapdirect/?focus=oilandgas&amp;zoom=query&amp;querytype=oilandgas&amp;queryvalues=OG_930","OG_930_Map")</f>
        <v>OG_930_Map</v>
      </c>
      <c r="F971" s="1" t="s">
        <v>2026</v>
      </c>
      <c r="G971" s="1" t="s">
        <v>79</v>
      </c>
      <c r="H971" s="1" t="s">
        <v>8261</v>
      </c>
      <c r="I971" s="1" t="s">
        <v>11577</v>
      </c>
      <c r="J971" s="17" t="s">
        <v>82</v>
      </c>
      <c r="K971" s="17" t="s">
        <v>83</v>
      </c>
      <c r="L971" s="17"/>
      <c r="M971" s="17"/>
      <c r="N971" s="52" t="s">
        <v>7568</v>
      </c>
      <c r="O971" s="17" t="s">
        <v>86</v>
      </c>
      <c r="P971" s="17" t="s">
        <v>86</v>
      </c>
      <c r="Q971" s="81" t="s">
        <v>11578</v>
      </c>
      <c r="R971" s="11">
        <v>26.529606000000001</v>
      </c>
      <c r="S971" s="11">
        <v>-81.729676999999995</v>
      </c>
      <c r="T971" s="11" t="s">
        <v>11579</v>
      </c>
      <c r="U971" s="11" t="s">
        <v>11580</v>
      </c>
      <c r="V971" s="17" t="s">
        <v>11581</v>
      </c>
      <c r="W971" s="17" t="s">
        <v>110</v>
      </c>
      <c r="X971" s="70">
        <v>50</v>
      </c>
      <c r="Y971" s="70">
        <v>25.8</v>
      </c>
      <c r="Z971" s="13">
        <v>28479</v>
      </c>
      <c r="AA971" s="13">
        <v>28505</v>
      </c>
      <c r="AB971" s="13"/>
      <c r="AC971" s="13">
        <v>28538</v>
      </c>
      <c r="AD971" s="86">
        <v>11827</v>
      </c>
      <c r="AE971" s="86">
        <v>11827</v>
      </c>
      <c r="AF971" s="70" t="s">
        <v>11582</v>
      </c>
      <c r="AG971" s="17" t="s">
        <v>11583</v>
      </c>
      <c r="AH971" s="17" t="s">
        <v>11584</v>
      </c>
      <c r="AI971" s="70" t="s">
        <v>94</v>
      </c>
      <c r="AJ971" s="17" t="s">
        <v>94</v>
      </c>
      <c r="AK971" s="17" t="s">
        <v>95</v>
      </c>
      <c r="AL971" s="17" t="s">
        <v>11585</v>
      </c>
      <c r="AM971" s="17" t="s">
        <v>94</v>
      </c>
      <c r="AN971" s="17" t="s">
        <v>94</v>
      </c>
      <c r="AO971" s="17" t="s">
        <v>98</v>
      </c>
      <c r="AP971" s="17" t="s">
        <v>98</v>
      </c>
      <c r="AQ971" s="17" t="s">
        <v>98</v>
      </c>
      <c r="AR971" s="17" t="s">
        <v>94</v>
      </c>
      <c r="AS971" s="17" t="s">
        <v>11586</v>
      </c>
      <c r="AT971" s="17"/>
      <c r="AU971" s="30" t="s">
        <v>11587</v>
      </c>
      <c r="AV971" s="14">
        <v>13848</v>
      </c>
      <c r="AW971" s="74"/>
      <c r="AX971" s="1"/>
      <c r="AY971" s="17" t="s">
        <v>101</v>
      </c>
    </row>
    <row r="972" spans="1:51" ht="12.75" customHeight="1" x14ac:dyDescent="0.25">
      <c r="A972" s="5">
        <v>931</v>
      </c>
      <c r="B972" s="9">
        <v>931</v>
      </c>
      <c r="C972" s="9" t="s">
        <v>11588</v>
      </c>
      <c r="D972" s="57" t="str">
        <f>HYPERLINK("http://prodenv.dep.state.fl.us/DepNexus/public/electronic-documents/OG_931/facility!search","OG_931_Docs")</f>
        <v>OG_931_Docs</v>
      </c>
      <c r="E972" s="57" t="str">
        <f>HYPERLINK("https://ca.dep.state.fl.us/mapdirect/?focus=oilandgas&amp;zoom=query&amp;querytype=oilandgas&amp;queryvalues=OG_931","OG_931_Map")</f>
        <v>OG_931_Map</v>
      </c>
      <c r="F972" s="1" t="s">
        <v>1797</v>
      </c>
      <c r="G972" s="1" t="s">
        <v>79</v>
      </c>
      <c r="H972" s="1" t="s">
        <v>11363</v>
      </c>
      <c r="I972" s="1" t="s">
        <v>11589</v>
      </c>
      <c r="J972" s="17" t="s">
        <v>207</v>
      </c>
      <c r="K972" s="17" t="s">
        <v>208</v>
      </c>
      <c r="L972" s="17"/>
      <c r="M972" s="17" t="s">
        <v>207</v>
      </c>
      <c r="N972" s="52" t="s">
        <v>207</v>
      </c>
      <c r="O972" s="17" t="s">
        <v>86</v>
      </c>
      <c r="P972" s="17" t="s">
        <v>86</v>
      </c>
      <c r="Q972" s="81" t="s">
        <v>11590</v>
      </c>
      <c r="R972" s="11">
        <v>30.834095000000001</v>
      </c>
      <c r="S972" s="11">
        <v>-86.893666999999994</v>
      </c>
      <c r="T972" s="11" t="s">
        <v>11591</v>
      </c>
      <c r="U972" s="11" t="s">
        <v>11592</v>
      </c>
      <c r="V972" s="17" t="s">
        <v>11593</v>
      </c>
      <c r="W972" s="17" t="s">
        <v>110</v>
      </c>
      <c r="X972" s="70"/>
      <c r="Y972" s="70"/>
      <c r="Z972" s="13">
        <v>28479</v>
      </c>
      <c r="AA972" s="13"/>
      <c r="AB972" s="13"/>
      <c r="AC972" s="13"/>
      <c r="AD972" s="86"/>
      <c r="AE972" s="70"/>
      <c r="AF972" s="70" t="s">
        <v>207</v>
      </c>
      <c r="AG972" s="14" t="s">
        <v>207</v>
      </c>
      <c r="AH972" s="14" t="s">
        <v>207</v>
      </c>
      <c r="AI972" s="70" t="s">
        <v>207</v>
      </c>
      <c r="AJ972" s="14" t="s">
        <v>207</v>
      </c>
      <c r="AK972" s="14" t="s">
        <v>207</v>
      </c>
      <c r="AL972" s="14" t="s">
        <v>207</v>
      </c>
      <c r="AM972" s="14" t="s">
        <v>207</v>
      </c>
      <c r="AN972" s="14" t="s">
        <v>207</v>
      </c>
      <c r="AO972" s="14" t="s">
        <v>207</v>
      </c>
      <c r="AP972" s="14" t="s">
        <v>207</v>
      </c>
      <c r="AQ972" s="14" t="s">
        <v>207</v>
      </c>
      <c r="AR972" s="14" t="s">
        <v>207</v>
      </c>
      <c r="AS972" s="14" t="s">
        <v>207</v>
      </c>
      <c r="AT972" s="14" t="s">
        <v>207</v>
      </c>
      <c r="AU972" s="30" t="s">
        <v>11594</v>
      </c>
      <c r="AV972" s="14" t="s">
        <v>207</v>
      </c>
      <c r="AW972" s="74"/>
      <c r="AX972" s="1"/>
      <c r="AY972" s="17" t="s">
        <v>101</v>
      </c>
    </row>
    <row r="973" spans="1:51" ht="12.75" customHeight="1" x14ac:dyDescent="0.25">
      <c r="A973" s="5">
        <v>932</v>
      </c>
      <c r="B973" s="9">
        <v>932</v>
      </c>
      <c r="C973" s="9" t="s">
        <v>11595</v>
      </c>
      <c r="D973" s="57" t="str">
        <f>HYPERLINK("http://prodenv.dep.state.fl.us/DepNexus/public/electronic-documents/OG_932/facility!search","OG_932_Docs")</f>
        <v>OG_932_Docs</v>
      </c>
      <c r="E973" s="57" t="str">
        <f>HYPERLINK("https://ca.dep.state.fl.us/mapdirect/?focus=oilandgas&amp;zoom=query&amp;querytype=oilandgas&amp;queryvalues=OG_932","OG_932_Map")</f>
        <v>OG_932_Map</v>
      </c>
      <c r="F973" s="1" t="s">
        <v>314</v>
      </c>
      <c r="G973" s="1" t="s">
        <v>79</v>
      </c>
      <c r="H973" s="1" t="s">
        <v>10253</v>
      </c>
      <c r="I973" s="1" t="s">
        <v>11596</v>
      </c>
      <c r="J973" s="17" t="s">
        <v>82</v>
      </c>
      <c r="K973" s="17" t="s">
        <v>83</v>
      </c>
      <c r="L973" s="17"/>
      <c r="M973" s="17" t="s">
        <v>101</v>
      </c>
      <c r="N973" s="52" t="s">
        <v>4802</v>
      </c>
      <c r="O973" s="17" t="s">
        <v>86</v>
      </c>
      <c r="P973" s="17" t="s">
        <v>86</v>
      </c>
      <c r="Q973" s="81" t="s">
        <v>11597</v>
      </c>
      <c r="R973" s="11">
        <v>30.590783999999999</v>
      </c>
      <c r="S973" s="11">
        <v>-86.071184000000002</v>
      </c>
      <c r="T973" s="11" t="s">
        <v>11598</v>
      </c>
      <c r="U973" s="11" t="s">
        <v>11599</v>
      </c>
      <c r="V973" s="17" t="s">
        <v>11600</v>
      </c>
      <c r="W973" s="17" t="s">
        <v>110</v>
      </c>
      <c r="X973" s="70">
        <v>195</v>
      </c>
      <c r="Y973" s="70">
        <v>185</v>
      </c>
      <c r="Z973" s="13">
        <v>28507</v>
      </c>
      <c r="AA973" s="13">
        <v>28536</v>
      </c>
      <c r="AB973" s="13"/>
      <c r="AC973" s="13">
        <v>28557</v>
      </c>
      <c r="AD973" s="86">
        <v>6366</v>
      </c>
      <c r="AE973" s="86">
        <v>6366</v>
      </c>
      <c r="AF973" s="70" t="s">
        <v>2540</v>
      </c>
      <c r="AG973" s="17" t="s">
        <v>11601</v>
      </c>
      <c r="AH973" s="17" t="s">
        <v>11602</v>
      </c>
      <c r="AI973" s="70" t="s">
        <v>94</v>
      </c>
      <c r="AJ973" s="17" t="s">
        <v>94</v>
      </c>
      <c r="AK973" s="17" t="s">
        <v>94</v>
      </c>
      <c r="AL973" s="17" t="s">
        <v>94</v>
      </c>
      <c r="AM973" s="17" t="s">
        <v>94</v>
      </c>
      <c r="AN973" s="17" t="s">
        <v>94</v>
      </c>
      <c r="AO973" s="17" t="s">
        <v>98</v>
      </c>
      <c r="AP973" s="17" t="s">
        <v>98</v>
      </c>
      <c r="AQ973" s="17" t="s">
        <v>98</v>
      </c>
      <c r="AR973" s="17" t="s">
        <v>94</v>
      </c>
      <c r="AS973" s="17" t="s">
        <v>11603</v>
      </c>
      <c r="AT973" s="17">
        <v>146</v>
      </c>
      <c r="AU973" s="30" t="s">
        <v>11604</v>
      </c>
      <c r="AV973" s="14" t="s">
        <v>94</v>
      </c>
      <c r="AW973" s="74"/>
      <c r="AX973" s="1"/>
      <c r="AY973" s="17" t="s">
        <v>101</v>
      </c>
    </row>
    <row r="974" spans="1:51" ht="12.75" customHeight="1" x14ac:dyDescent="0.25">
      <c r="A974" s="5">
        <v>933</v>
      </c>
      <c r="B974" s="9">
        <v>933</v>
      </c>
      <c r="C974" s="9" t="s">
        <v>11605</v>
      </c>
      <c r="D974" s="57" t="str">
        <f>HYPERLINK("http://prodenv.dep.state.fl.us/DepNexus/public/electronic-documents/OG_933/facility!search","OG_933_Docs")</f>
        <v>OG_933_Docs</v>
      </c>
      <c r="E974" s="57" t="str">
        <f>HYPERLINK("https://ca.dep.state.fl.us/mapdirect/?focus=oilandgas&amp;zoom=query&amp;querytype=oilandgas&amp;queryvalues=OG_933","OG_933_Map")</f>
        <v>OG_933_Map</v>
      </c>
      <c r="F974" s="1" t="s">
        <v>1797</v>
      </c>
      <c r="G974" s="1" t="s">
        <v>79</v>
      </c>
      <c r="H974" s="1" t="s">
        <v>11363</v>
      </c>
      <c r="I974" s="1" t="s">
        <v>11606</v>
      </c>
      <c r="J974" s="17" t="s">
        <v>207</v>
      </c>
      <c r="K974" s="17" t="s">
        <v>208</v>
      </c>
      <c r="L974" s="17"/>
      <c r="M974" s="17" t="s">
        <v>207</v>
      </c>
      <c r="N974" s="52" t="s">
        <v>207</v>
      </c>
      <c r="O974" s="17" t="s">
        <v>1962</v>
      </c>
      <c r="P974" s="17" t="s">
        <v>86</v>
      </c>
      <c r="Q974" s="81" t="s">
        <v>11607</v>
      </c>
      <c r="R974" s="11">
        <v>30.805709</v>
      </c>
      <c r="S974" s="11">
        <v>-86.876705000000001</v>
      </c>
      <c r="T974" s="11" t="s">
        <v>11608</v>
      </c>
      <c r="U974" s="11" t="s">
        <v>11609</v>
      </c>
      <c r="V974" s="17" t="s">
        <v>11610</v>
      </c>
      <c r="W974" s="17" t="s">
        <v>110</v>
      </c>
      <c r="X974" s="70"/>
      <c r="Y974" s="70"/>
      <c r="Z974" s="13">
        <v>28528</v>
      </c>
      <c r="AA974" s="13"/>
      <c r="AB974" s="13"/>
      <c r="AC974" s="13"/>
      <c r="AD974" s="86"/>
      <c r="AE974" s="70"/>
      <c r="AF974" s="70" t="s">
        <v>207</v>
      </c>
      <c r="AG974" s="14" t="s">
        <v>207</v>
      </c>
      <c r="AH974" s="14" t="s">
        <v>207</v>
      </c>
      <c r="AI974" s="70" t="s">
        <v>207</v>
      </c>
      <c r="AJ974" s="14" t="s">
        <v>207</v>
      </c>
      <c r="AK974" s="14" t="s">
        <v>207</v>
      </c>
      <c r="AL974" s="14" t="s">
        <v>207</v>
      </c>
      <c r="AM974" s="14" t="s">
        <v>207</v>
      </c>
      <c r="AN974" s="14" t="s">
        <v>207</v>
      </c>
      <c r="AO974" s="14" t="s">
        <v>207</v>
      </c>
      <c r="AP974" s="14" t="s">
        <v>207</v>
      </c>
      <c r="AQ974" s="14" t="s">
        <v>207</v>
      </c>
      <c r="AR974" s="14" t="s">
        <v>207</v>
      </c>
      <c r="AS974" s="14" t="s">
        <v>207</v>
      </c>
      <c r="AT974" s="14" t="s">
        <v>207</v>
      </c>
      <c r="AU974" s="30" t="s">
        <v>11611</v>
      </c>
      <c r="AV974" s="14" t="s">
        <v>207</v>
      </c>
      <c r="AW974" s="74"/>
      <c r="AX974" s="1"/>
      <c r="AY974" s="17" t="s">
        <v>101</v>
      </c>
    </row>
    <row r="975" spans="1:51" ht="12.75" customHeight="1" x14ac:dyDescent="0.25">
      <c r="A975" s="5">
        <v>934</v>
      </c>
      <c r="B975" s="9">
        <v>934</v>
      </c>
      <c r="C975" s="9" t="s">
        <v>11612</v>
      </c>
      <c r="D975" s="57" t="str">
        <f>HYPERLINK("http://prodenv.dep.state.fl.us/DepNexus/public/electronic-documents/OG_934/facility!search","OG_934_Docs")</f>
        <v>OG_934_Docs</v>
      </c>
      <c r="E975" s="57" t="str">
        <f>HYPERLINK("https://ca.dep.state.fl.us/mapdirect/?focus=oilandgas&amp;zoom=query&amp;querytype=oilandgas&amp;queryvalues=OG_934","OG_934_Map")</f>
        <v>OG_934_Map</v>
      </c>
      <c r="F975" s="1" t="s">
        <v>1797</v>
      </c>
      <c r="G975" s="1" t="s">
        <v>5133</v>
      </c>
      <c r="H975" s="1" t="s">
        <v>8261</v>
      </c>
      <c r="I975" s="1" t="s">
        <v>11613</v>
      </c>
      <c r="J975" s="17" t="s">
        <v>268</v>
      </c>
      <c r="K975" s="17" t="s">
        <v>412</v>
      </c>
      <c r="L975" s="17"/>
      <c r="M975" s="17"/>
      <c r="N975" s="52" t="s">
        <v>6529</v>
      </c>
      <c r="O975" s="17" t="s">
        <v>86</v>
      </c>
      <c r="P975" s="17" t="s">
        <v>86</v>
      </c>
      <c r="Q975" s="81" t="s">
        <v>5905</v>
      </c>
      <c r="R975" s="11">
        <v>30.967103999999999</v>
      </c>
      <c r="S975" s="11">
        <v>-87.172058000000007</v>
      </c>
      <c r="T975" s="11" t="s">
        <v>11614</v>
      </c>
      <c r="U975" s="11" t="s">
        <v>11615</v>
      </c>
      <c r="V975" s="17" t="s">
        <v>11616</v>
      </c>
      <c r="W975" s="17" t="s">
        <v>110</v>
      </c>
      <c r="X975" s="70">
        <v>217.03</v>
      </c>
      <c r="Y975" s="70">
        <v>191.18</v>
      </c>
      <c r="Z975" s="13">
        <v>28556</v>
      </c>
      <c r="AA975" s="13">
        <v>28592</v>
      </c>
      <c r="AB975" s="13">
        <v>28740</v>
      </c>
      <c r="AC975" s="13">
        <v>37987</v>
      </c>
      <c r="AD975" s="86">
        <v>15746</v>
      </c>
      <c r="AE975" s="86">
        <v>15746</v>
      </c>
      <c r="AF975" s="70" t="s">
        <v>6803</v>
      </c>
      <c r="AG975" s="17" t="s">
        <v>11617</v>
      </c>
      <c r="AH975" s="17" t="s">
        <v>94</v>
      </c>
      <c r="AI975" s="70" t="s">
        <v>11618</v>
      </c>
      <c r="AJ975" s="17" t="s">
        <v>11619</v>
      </c>
      <c r="AK975" s="17" t="s">
        <v>94</v>
      </c>
      <c r="AL975" s="17" t="s">
        <v>11620</v>
      </c>
      <c r="AM975" s="17" t="s">
        <v>95</v>
      </c>
      <c r="AN975" s="17"/>
      <c r="AO975" s="17" t="s">
        <v>11621</v>
      </c>
      <c r="AP975" s="17" t="s">
        <v>94</v>
      </c>
      <c r="AQ975" s="17" t="s">
        <v>425</v>
      </c>
      <c r="AR975" s="17" t="s">
        <v>11622</v>
      </c>
      <c r="AS975" s="17" t="s">
        <v>11623</v>
      </c>
      <c r="AT975" s="17"/>
      <c r="AU975" s="30" t="s">
        <v>11624</v>
      </c>
      <c r="AV975" s="14">
        <v>13979</v>
      </c>
      <c r="AW975" s="74"/>
      <c r="AX975" s="1"/>
      <c r="AY975" s="17" t="s">
        <v>101</v>
      </c>
    </row>
    <row r="976" spans="1:51" ht="12.75" customHeight="1" x14ac:dyDescent="0.25">
      <c r="A976" s="5">
        <v>935</v>
      </c>
      <c r="B976" s="9">
        <v>935</v>
      </c>
      <c r="C976" s="9" t="s">
        <v>11625</v>
      </c>
      <c r="D976" s="57" t="str">
        <f>HYPERLINK("http://prodenv.dep.state.fl.us/DepNexus/public/electronic-documents/OG_935/facility!search","OG_935_Docs")</f>
        <v>OG_935_Docs</v>
      </c>
      <c r="E976" s="57" t="str">
        <f>HYPERLINK("https://ca.dep.state.fl.us/mapdirect/?focus=oilandgas&amp;zoom=query&amp;querytype=oilandgas&amp;queryvalues=OG_935","OG_935_Map")</f>
        <v>OG_935_Map</v>
      </c>
      <c r="F976" s="1" t="s">
        <v>1797</v>
      </c>
      <c r="G976" s="1" t="s">
        <v>5133</v>
      </c>
      <c r="H976" s="1" t="s">
        <v>1363</v>
      </c>
      <c r="I976" s="1" t="s">
        <v>11626</v>
      </c>
      <c r="J976" s="17" t="s">
        <v>3646</v>
      </c>
      <c r="K976" s="17" t="s">
        <v>412</v>
      </c>
      <c r="L976" s="17"/>
      <c r="M976" s="17"/>
      <c r="N976" s="52" t="s">
        <v>6046</v>
      </c>
      <c r="O976" s="17" t="s">
        <v>86</v>
      </c>
      <c r="P976" s="17" t="s">
        <v>86</v>
      </c>
      <c r="Q976" s="81" t="s">
        <v>5994</v>
      </c>
      <c r="R976" s="11">
        <v>30.956866999999999</v>
      </c>
      <c r="S976" s="11">
        <v>-87.182708000000005</v>
      </c>
      <c r="T976" s="11" t="s">
        <v>11627</v>
      </c>
      <c r="U976" s="11" t="s">
        <v>11628</v>
      </c>
      <c r="V976" s="17" t="s">
        <v>11629</v>
      </c>
      <c r="W976" s="17" t="s">
        <v>11630</v>
      </c>
      <c r="X976" s="70">
        <v>233</v>
      </c>
      <c r="Y976" s="70">
        <v>209</v>
      </c>
      <c r="Z976" s="13">
        <v>28556</v>
      </c>
      <c r="AA976" s="13">
        <v>28637</v>
      </c>
      <c r="AB976" s="13">
        <v>28930</v>
      </c>
      <c r="AC976" s="13"/>
      <c r="AD976" s="86">
        <v>15792</v>
      </c>
      <c r="AE976" s="86">
        <v>16038</v>
      </c>
      <c r="AF976" s="70" t="s">
        <v>11631</v>
      </c>
      <c r="AG976" s="17" t="s">
        <v>11632</v>
      </c>
      <c r="AH976" s="17" t="s">
        <v>94</v>
      </c>
      <c r="AI976" s="70" t="s">
        <v>11633</v>
      </c>
      <c r="AJ976" s="17" t="s">
        <v>11634</v>
      </c>
      <c r="AK976" s="17" t="s">
        <v>94</v>
      </c>
      <c r="AL976" s="17" t="s">
        <v>11635</v>
      </c>
      <c r="AM976" s="17" t="s">
        <v>94</v>
      </c>
      <c r="AN976" s="17" t="s">
        <v>86</v>
      </c>
      <c r="AO976" s="17" t="s">
        <v>11636</v>
      </c>
      <c r="AP976" s="17" t="s">
        <v>11637</v>
      </c>
      <c r="AQ976" s="17" t="s">
        <v>5369</v>
      </c>
      <c r="AR976" s="17" t="s">
        <v>11638</v>
      </c>
      <c r="AS976" s="17"/>
      <c r="AT976" s="17">
        <v>248</v>
      </c>
      <c r="AU976" s="30" t="s">
        <v>11639</v>
      </c>
      <c r="AV976" s="14" t="s">
        <v>94</v>
      </c>
      <c r="AW976" s="74">
        <v>302985</v>
      </c>
      <c r="AX976" s="1"/>
      <c r="AY976" s="17" t="s">
        <v>101</v>
      </c>
    </row>
    <row r="977" spans="1:51" ht="15" customHeight="1" x14ac:dyDescent="0.25">
      <c r="A977" s="5">
        <v>936</v>
      </c>
      <c r="B977" s="9">
        <v>936</v>
      </c>
      <c r="C977" s="9" t="s">
        <v>11640</v>
      </c>
      <c r="D977" s="57" t="str">
        <f>HYPERLINK("http://prodenv.dep.state.fl.us/DepNexus/public/electronic-documents/OG_936/facility!search","OG_936_Docs")</f>
        <v>OG_936_Docs</v>
      </c>
      <c r="E977" s="57" t="str">
        <f>HYPERLINK("https://ca.dep.state.fl.us/mapdirect/?focus=oilandgas&amp;zoom=query&amp;querytype=oilandgas&amp;queryvalues=OG_936","OG_936_Map")</f>
        <v>OG_936_Map</v>
      </c>
      <c r="F977" s="1" t="s">
        <v>1797</v>
      </c>
      <c r="G977" s="1" t="s">
        <v>5133</v>
      </c>
      <c r="H977" s="1" t="s">
        <v>8261</v>
      </c>
      <c r="I977" s="1" t="s">
        <v>11641</v>
      </c>
      <c r="J977" s="17" t="s">
        <v>268</v>
      </c>
      <c r="K977" s="17" t="s">
        <v>412</v>
      </c>
      <c r="L977" s="17"/>
      <c r="M977" s="17"/>
      <c r="N977" s="52" t="s">
        <v>11172</v>
      </c>
      <c r="O977" s="17" t="s">
        <v>86</v>
      </c>
      <c r="P977" s="17" t="s">
        <v>86</v>
      </c>
      <c r="Q977" s="81" t="s">
        <v>11642</v>
      </c>
      <c r="R977" s="11">
        <v>30.980008000000002</v>
      </c>
      <c r="S977" s="11">
        <v>-87.155919999999995</v>
      </c>
      <c r="T977" s="11" t="s">
        <v>11643</v>
      </c>
      <c r="U977" s="11" t="s">
        <v>11644</v>
      </c>
      <c r="V977" s="17" t="s">
        <v>11645</v>
      </c>
      <c r="W977" s="17" t="s">
        <v>110</v>
      </c>
      <c r="X977" s="70">
        <v>172</v>
      </c>
      <c r="Y977" s="70">
        <v>142</v>
      </c>
      <c r="Z977" s="13">
        <v>28572</v>
      </c>
      <c r="AA977" s="13">
        <v>28751</v>
      </c>
      <c r="AB977" s="13">
        <v>28864</v>
      </c>
      <c r="AC977" s="13">
        <v>36357</v>
      </c>
      <c r="AD977" s="86">
        <v>15750</v>
      </c>
      <c r="AE977" s="86">
        <v>15750</v>
      </c>
      <c r="AF977" s="70" t="s">
        <v>6803</v>
      </c>
      <c r="AG977" s="17" t="s">
        <v>11646</v>
      </c>
      <c r="AH977" s="17" t="s">
        <v>94</v>
      </c>
      <c r="AI977" s="70" t="s">
        <v>11647</v>
      </c>
      <c r="AJ977" s="17" t="s">
        <v>11648</v>
      </c>
      <c r="AK977" s="17" t="s">
        <v>94</v>
      </c>
      <c r="AL977" s="17" t="s">
        <v>11649</v>
      </c>
      <c r="AM977" s="17" t="s">
        <v>94</v>
      </c>
      <c r="AN977" s="17" t="s">
        <v>94</v>
      </c>
      <c r="AO977" s="17" t="s">
        <v>11650</v>
      </c>
      <c r="AP977" s="17" t="s">
        <v>11651</v>
      </c>
      <c r="AQ977" s="17" t="s">
        <v>425</v>
      </c>
      <c r="AR977" s="17" t="s">
        <v>11652</v>
      </c>
      <c r="AS977" s="17" t="s">
        <v>11653</v>
      </c>
      <c r="AT977" s="17"/>
      <c r="AU977" s="30" t="s">
        <v>11654</v>
      </c>
      <c r="AV977" s="14" t="s">
        <v>94</v>
      </c>
      <c r="AW977" s="74"/>
      <c r="AX977" s="1"/>
      <c r="AY977" s="17" t="s">
        <v>101</v>
      </c>
    </row>
    <row r="978" spans="1:51" ht="15" customHeight="1" x14ac:dyDescent="0.25">
      <c r="A978" s="5">
        <v>937</v>
      </c>
      <c r="B978" s="9">
        <v>937</v>
      </c>
      <c r="C978" s="9" t="s">
        <v>11655</v>
      </c>
      <c r="D978" s="57" t="str">
        <f>HYPERLINK("http://prodenv.dep.state.fl.us/DepNexus/public/electronic-documents/OG_937/facility!search","OG_937_Docs")</f>
        <v>OG_937_Docs</v>
      </c>
      <c r="E978" s="57" t="str">
        <f>HYPERLINK("https://ca.dep.state.fl.us/mapdirect/?focus=oilandgas&amp;zoom=query&amp;querytype=oilandgas&amp;queryvalues=OG_937","OG_937_Map")</f>
        <v>OG_937_Map</v>
      </c>
      <c r="F978" s="1" t="s">
        <v>265</v>
      </c>
      <c r="G978" s="1" t="s">
        <v>7239</v>
      </c>
      <c r="H978" s="1" t="s">
        <v>8261</v>
      </c>
      <c r="I978" s="1" t="s">
        <v>11656</v>
      </c>
      <c r="J978" s="17" t="s">
        <v>268</v>
      </c>
      <c r="K978" s="17" t="s">
        <v>6671</v>
      </c>
      <c r="L978" s="17"/>
      <c r="M978" s="17"/>
      <c r="N978" s="52" t="s">
        <v>4735</v>
      </c>
      <c r="O978" s="17" t="s">
        <v>270</v>
      </c>
      <c r="P978" s="17" t="s">
        <v>86</v>
      </c>
      <c r="Q978" s="81" t="s">
        <v>11657</v>
      </c>
      <c r="R978" s="11">
        <v>26.270115000000001</v>
      </c>
      <c r="S978" s="11">
        <v>-81.314622999999997</v>
      </c>
      <c r="T978" s="11" t="s">
        <v>11658</v>
      </c>
      <c r="U978" s="11" t="s">
        <v>11659</v>
      </c>
      <c r="V978" s="17" t="s">
        <v>11660</v>
      </c>
      <c r="W978" s="17" t="s">
        <v>110</v>
      </c>
      <c r="X978" s="70">
        <v>42.5</v>
      </c>
      <c r="Y978" s="70">
        <v>18.899999999999999</v>
      </c>
      <c r="Z978" s="13">
        <v>28572</v>
      </c>
      <c r="AA978" s="13">
        <v>28836</v>
      </c>
      <c r="AB978" s="13">
        <v>28947</v>
      </c>
      <c r="AC978" s="13">
        <v>32581</v>
      </c>
      <c r="AD978" s="86">
        <v>11623</v>
      </c>
      <c r="AE978" s="86">
        <v>11623</v>
      </c>
      <c r="AF978" s="70" t="s">
        <v>11661</v>
      </c>
      <c r="AG978" s="17" t="s">
        <v>11662</v>
      </c>
      <c r="AH978" s="17" t="s">
        <v>11663</v>
      </c>
      <c r="AI978" s="70" t="s">
        <v>11664</v>
      </c>
      <c r="AJ978" s="17" t="s">
        <v>94</v>
      </c>
      <c r="AK978" s="17" t="s">
        <v>94</v>
      </c>
      <c r="AL978" s="17" t="s">
        <v>11665</v>
      </c>
      <c r="AM978" s="17" t="s">
        <v>94</v>
      </c>
      <c r="AN978" s="17" t="s">
        <v>94</v>
      </c>
      <c r="AO978" s="17" t="s">
        <v>11666</v>
      </c>
      <c r="AP978" s="17" t="s">
        <v>4176</v>
      </c>
      <c r="AQ978" s="17" t="s">
        <v>11667</v>
      </c>
      <c r="AR978" s="17" t="s">
        <v>11668</v>
      </c>
      <c r="AS978" s="17" t="s">
        <v>11669</v>
      </c>
      <c r="AT978" s="17"/>
      <c r="AU978" s="30" t="s">
        <v>11670</v>
      </c>
      <c r="AV978" s="14" t="s">
        <v>94</v>
      </c>
      <c r="AW978" s="74"/>
      <c r="AX978" s="1" t="s">
        <v>11671</v>
      </c>
      <c r="AY978" s="17" t="s">
        <v>101</v>
      </c>
    </row>
    <row r="979" spans="1:51" ht="15" customHeight="1" x14ac:dyDescent="0.25">
      <c r="A979" s="5">
        <v>938</v>
      </c>
      <c r="B979" s="9">
        <v>938</v>
      </c>
      <c r="C979" s="9" t="s">
        <v>11672</v>
      </c>
      <c r="D979" s="57" t="str">
        <f>HYPERLINK("http://prodenv.dep.state.fl.us/DepNexus/public/electronic-documents/OG_938/facility!search","OG_938_Docs")</f>
        <v>OG_938_Docs</v>
      </c>
      <c r="E979" s="57" t="str">
        <f>HYPERLINK("https://ca.dep.state.fl.us/mapdirect/?focus=oilandgas&amp;zoom=query&amp;querytype=oilandgas&amp;queryvalues=OG_938","OG_938_Map")</f>
        <v>OG_938_Map</v>
      </c>
      <c r="F979" s="1" t="s">
        <v>265</v>
      </c>
      <c r="G979" s="1" t="s">
        <v>7239</v>
      </c>
      <c r="H979" s="1" t="s">
        <v>8261</v>
      </c>
      <c r="I979" s="1" t="s">
        <v>11673</v>
      </c>
      <c r="J979" s="17" t="s">
        <v>207</v>
      </c>
      <c r="K979" s="17" t="s">
        <v>208</v>
      </c>
      <c r="L979" s="17"/>
      <c r="M979" s="17" t="s">
        <v>207</v>
      </c>
      <c r="N979" s="52" t="s">
        <v>207</v>
      </c>
      <c r="O979" s="17" t="s">
        <v>270</v>
      </c>
      <c r="P979" s="17" t="s">
        <v>86</v>
      </c>
      <c r="Q979" s="81" t="s">
        <v>11674</v>
      </c>
      <c r="R979" s="11">
        <v>26.270852000000001</v>
      </c>
      <c r="S979" s="11">
        <v>-81.320271000000005</v>
      </c>
      <c r="T979" s="11" t="s">
        <v>11675</v>
      </c>
      <c r="U979" s="11" t="s">
        <v>11676</v>
      </c>
      <c r="V979" s="17" t="s">
        <v>11677</v>
      </c>
      <c r="W979" s="17" t="s">
        <v>110</v>
      </c>
      <c r="X979" s="70"/>
      <c r="Y979" s="70"/>
      <c r="Z979" s="13">
        <v>28572</v>
      </c>
      <c r="AA979" s="13"/>
      <c r="AB979" s="13"/>
      <c r="AC979" s="13"/>
      <c r="AD979" s="86"/>
      <c r="AE979" s="70"/>
      <c r="AF979" s="70" t="s">
        <v>207</v>
      </c>
      <c r="AG979" s="14" t="s">
        <v>207</v>
      </c>
      <c r="AH979" s="14" t="s">
        <v>207</v>
      </c>
      <c r="AI979" s="70" t="s">
        <v>207</v>
      </c>
      <c r="AJ979" s="14" t="s">
        <v>207</v>
      </c>
      <c r="AK979" s="14" t="s">
        <v>207</v>
      </c>
      <c r="AL979" s="14" t="s">
        <v>207</v>
      </c>
      <c r="AM979" s="14" t="s">
        <v>207</v>
      </c>
      <c r="AN979" s="14" t="s">
        <v>207</v>
      </c>
      <c r="AO979" s="14" t="s">
        <v>207</v>
      </c>
      <c r="AP979" s="14" t="s">
        <v>207</v>
      </c>
      <c r="AQ979" s="14" t="s">
        <v>207</v>
      </c>
      <c r="AR979" s="14" t="s">
        <v>207</v>
      </c>
      <c r="AS979" s="14" t="s">
        <v>207</v>
      </c>
      <c r="AT979" s="14" t="s">
        <v>207</v>
      </c>
      <c r="AU979" s="30" t="s">
        <v>11678</v>
      </c>
      <c r="AV979" s="14" t="s">
        <v>207</v>
      </c>
      <c r="AW979" s="74"/>
      <c r="AX979" s="1"/>
      <c r="AY979" s="17" t="s">
        <v>101</v>
      </c>
    </row>
    <row r="980" spans="1:51" ht="15" customHeight="1" x14ac:dyDescent="0.25">
      <c r="A980" s="5">
        <v>939</v>
      </c>
      <c r="B980" s="9">
        <v>939</v>
      </c>
      <c r="C980" s="9" t="s">
        <v>11679</v>
      </c>
      <c r="D980" s="57" t="str">
        <f>HYPERLINK("http://prodenv.dep.state.fl.us/DepNexus/public/electronic-documents/OG_939/facility!search","OG_939_Docs")</f>
        <v>OG_939_Docs</v>
      </c>
      <c r="E980" s="57" t="str">
        <f>HYPERLINK("https://ca.dep.state.fl.us/mapdirect/?focus=oilandgas&amp;zoom=query&amp;querytype=oilandgas&amp;queryvalues=OG_939","OG_939_Map")</f>
        <v>OG_939_Map</v>
      </c>
      <c r="F980" s="1" t="s">
        <v>1797</v>
      </c>
      <c r="G980" s="1" t="s">
        <v>5133</v>
      </c>
      <c r="H980" s="1" t="s">
        <v>8261</v>
      </c>
      <c r="I980" s="1" t="s">
        <v>11680</v>
      </c>
      <c r="J980" s="17" t="s">
        <v>268</v>
      </c>
      <c r="K980" s="17" t="s">
        <v>6189</v>
      </c>
      <c r="L980" s="17"/>
      <c r="M980" s="17"/>
      <c r="N980" s="52" t="s">
        <v>9222</v>
      </c>
      <c r="O980" s="17" t="s">
        <v>86</v>
      </c>
      <c r="P980" s="17" t="s">
        <v>86</v>
      </c>
      <c r="Q980" s="81" t="s">
        <v>11681</v>
      </c>
      <c r="R980" s="11">
        <v>30.963208999999999</v>
      </c>
      <c r="S980" s="11">
        <v>-87.173075999999995</v>
      </c>
      <c r="T980" s="11" t="s">
        <v>11682</v>
      </c>
      <c r="U980" s="11" t="s">
        <v>11683</v>
      </c>
      <c r="V980" s="17" t="s">
        <v>11684</v>
      </c>
      <c r="W980" s="17" t="s">
        <v>110</v>
      </c>
      <c r="X980" s="70">
        <v>211.1</v>
      </c>
      <c r="Y980" s="70">
        <v>197.2</v>
      </c>
      <c r="Z980" s="13">
        <v>28586</v>
      </c>
      <c r="AA980" s="13">
        <v>28709</v>
      </c>
      <c r="AB980" s="13">
        <v>28968</v>
      </c>
      <c r="AC980" s="13">
        <v>39234</v>
      </c>
      <c r="AD980" s="86">
        <v>6606</v>
      </c>
      <c r="AE980" s="86">
        <v>6606</v>
      </c>
      <c r="AF980" s="70" t="s">
        <v>6803</v>
      </c>
      <c r="AG980" s="17" t="s">
        <v>11685</v>
      </c>
      <c r="AH980" s="17" t="s">
        <v>94</v>
      </c>
      <c r="AI980" s="70" t="s">
        <v>11686</v>
      </c>
      <c r="AJ980" s="17" t="s">
        <v>11687</v>
      </c>
      <c r="AK980" s="17" t="s">
        <v>94</v>
      </c>
      <c r="AL980" s="17" t="s">
        <v>94</v>
      </c>
      <c r="AM980" s="17" t="s">
        <v>94</v>
      </c>
      <c r="AN980" s="17" t="s">
        <v>94</v>
      </c>
      <c r="AO980" s="17" t="s">
        <v>94</v>
      </c>
      <c r="AP980" s="17" t="s">
        <v>94</v>
      </c>
      <c r="AQ980" s="17" t="s">
        <v>94</v>
      </c>
      <c r="AR980" s="17" t="s">
        <v>11688</v>
      </c>
      <c r="AS980" s="17" t="s">
        <v>11689</v>
      </c>
      <c r="AT980" s="17"/>
      <c r="AU980" s="30" t="s">
        <v>11690</v>
      </c>
      <c r="AV980" s="14" t="s">
        <v>94</v>
      </c>
      <c r="AW980" s="74"/>
      <c r="AX980" s="1" t="s">
        <v>11691</v>
      </c>
      <c r="AY980" s="17" t="s">
        <v>101</v>
      </c>
    </row>
    <row r="981" spans="1:51" ht="12.75" customHeight="1" x14ac:dyDescent="0.25">
      <c r="A981" s="5">
        <v>940</v>
      </c>
      <c r="B981" s="9">
        <v>940</v>
      </c>
      <c r="C981" s="9" t="s">
        <v>11692</v>
      </c>
      <c r="D981" s="57" t="str">
        <f>HYPERLINK("http://prodenv.dep.state.fl.us/DepNexus/public/electronic-documents/OG_940/facility!search","OG_940_Docs")</f>
        <v>OG_940_Docs</v>
      </c>
      <c r="E981" s="57" t="str">
        <f>HYPERLINK("https://ca.dep.state.fl.us/mapdirect/?focus=oilandgas&amp;zoom=query&amp;querytype=oilandgas&amp;queryvalues=OG_940","OG_940_Map")</f>
        <v>OG_940_Map</v>
      </c>
      <c r="F981" s="1" t="s">
        <v>1797</v>
      </c>
      <c r="G981" s="1" t="s">
        <v>5133</v>
      </c>
      <c r="H981" s="1" t="s">
        <v>1363</v>
      </c>
      <c r="I981" s="1" t="s">
        <v>11693</v>
      </c>
      <c r="J981" s="17" t="s">
        <v>1365</v>
      </c>
      <c r="K981" s="17" t="s">
        <v>6189</v>
      </c>
      <c r="L981" s="17"/>
      <c r="M981" s="17"/>
      <c r="N981" s="52" t="s">
        <v>11694</v>
      </c>
      <c r="O981" s="17" t="s">
        <v>86</v>
      </c>
      <c r="P981" s="17" t="s">
        <v>86</v>
      </c>
      <c r="Q981" s="81" t="s">
        <v>5397</v>
      </c>
      <c r="R981" s="11">
        <v>30.968605</v>
      </c>
      <c r="S981" s="11">
        <v>-87.174161999999995</v>
      </c>
      <c r="T981" s="11" t="s">
        <v>11695</v>
      </c>
      <c r="U981" s="11" t="s">
        <v>11696</v>
      </c>
      <c r="V981" s="17" t="s">
        <v>11697</v>
      </c>
      <c r="W981" s="17" t="s">
        <v>110</v>
      </c>
      <c r="X981" s="70">
        <v>186.1</v>
      </c>
      <c r="Y981" s="70">
        <v>172.24</v>
      </c>
      <c r="Z981" s="13">
        <v>28586</v>
      </c>
      <c r="AA981" s="13">
        <v>28730</v>
      </c>
      <c r="AB981" s="13">
        <v>28971</v>
      </c>
      <c r="AC981" s="13"/>
      <c r="AD981" s="86">
        <v>6600</v>
      </c>
      <c r="AE981" s="86">
        <v>6600</v>
      </c>
      <c r="AF981" s="70" t="s">
        <v>6803</v>
      </c>
      <c r="AG981" s="17" t="s">
        <v>11698</v>
      </c>
      <c r="AH981" s="17" t="s">
        <v>94</v>
      </c>
      <c r="AI981" s="70" t="s">
        <v>11699</v>
      </c>
      <c r="AJ981" s="17" t="s">
        <v>11700</v>
      </c>
      <c r="AK981" s="17" t="s">
        <v>94</v>
      </c>
      <c r="AL981" s="17" t="s">
        <v>94</v>
      </c>
      <c r="AM981" s="17" t="s">
        <v>94</v>
      </c>
      <c r="AN981" s="17" t="s">
        <v>94</v>
      </c>
      <c r="AO981" s="17" t="s">
        <v>94</v>
      </c>
      <c r="AP981" s="17" t="s">
        <v>94</v>
      </c>
      <c r="AQ981" s="17" t="s">
        <v>94</v>
      </c>
      <c r="AR981" s="17" t="s">
        <v>11701</v>
      </c>
      <c r="AS981" s="17"/>
      <c r="AT981" s="17"/>
      <c r="AU981" s="30" t="s">
        <v>11702</v>
      </c>
      <c r="AV981" s="14" t="s">
        <v>94</v>
      </c>
      <c r="AW981" s="74">
        <v>311634</v>
      </c>
      <c r="AX981" s="1" t="s">
        <v>11703</v>
      </c>
      <c r="AY981" s="17" t="s">
        <v>101</v>
      </c>
    </row>
    <row r="982" spans="1:51" ht="12.75" customHeight="1" x14ac:dyDescent="0.25">
      <c r="A982" s="5">
        <v>941</v>
      </c>
      <c r="B982" s="9">
        <v>941</v>
      </c>
      <c r="C982" s="9" t="s">
        <v>11704</v>
      </c>
      <c r="D982" s="57" t="str">
        <f>HYPERLINK("http://prodenv.dep.state.fl.us/DepNexus/public/electronic-documents/OG_941/facility!search","OG_941_Docs")</f>
        <v>OG_941_Docs</v>
      </c>
      <c r="E982" s="57" t="str">
        <f>HYPERLINK("https://ca.dep.state.fl.us/mapdirect/?focus=oilandgas&amp;zoom=query&amp;querytype=oilandgas&amp;queryvalues=OG_941","OG_941_Map")</f>
        <v>OG_941_Map</v>
      </c>
      <c r="F982" s="1" t="s">
        <v>1797</v>
      </c>
      <c r="G982" s="1" t="s">
        <v>5133</v>
      </c>
      <c r="H982" s="1" t="s">
        <v>1363</v>
      </c>
      <c r="I982" s="1" t="s">
        <v>11705</v>
      </c>
      <c r="J982" s="17" t="s">
        <v>1365</v>
      </c>
      <c r="K982" s="17" t="s">
        <v>6189</v>
      </c>
      <c r="L982" s="17"/>
      <c r="M982" s="17"/>
      <c r="N982" s="52" t="s">
        <v>4735</v>
      </c>
      <c r="O982" s="17" t="s">
        <v>86</v>
      </c>
      <c r="P982" s="17" t="s">
        <v>86</v>
      </c>
      <c r="Q982" s="81" t="s">
        <v>5994</v>
      </c>
      <c r="R982" s="11">
        <v>30.957685000000001</v>
      </c>
      <c r="S982" s="11">
        <v>-87.172917999999996</v>
      </c>
      <c r="T982" s="11" t="s">
        <v>11706</v>
      </c>
      <c r="U982" s="11" t="s">
        <v>11707</v>
      </c>
      <c r="V982" s="17" t="s">
        <v>11708</v>
      </c>
      <c r="W982" s="17" t="s">
        <v>110</v>
      </c>
      <c r="X982" s="70">
        <v>216.9</v>
      </c>
      <c r="Y982" s="70">
        <v>196.9</v>
      </c>
      <c r="Z982" s="13">
        <v>28586</v>
      </c>
      <c r="AA982" s="13">
        <v>28771</v>
      </c>
      <c r="AB982" s="13">
        <v>29906</v>
      </c>
      <c r="AC982" s="13"/>
      <c r="AD982" s="86">
        <v>6900</v>
      </c>
      <c r="AE982" s="86">
        <v>6900</v>
      </c>
      <c r="AF982" s="70" t="s">
        <v>10305</v>
      </c>
      <c r="AG982" s="17" t="s">
        <v>11709</v>
      </c>
      <c r="AH982" s="17" t="s">
        <v>94</v>
      </c>
      <c r="AI982" s="70" t="s">
        <v>11710</v>
      </c>
      <c r="AJ982" s="17" t="s">
        <v>11711</v>
      </c>
      <c r="AK982" s="17" t="s">
        <v>94</v>
      </c>
      <c r="AL982" s="17" t="s">
        <v>94</v>
      </c>
      <c r="AM982" s="17" t="s">
        <v>94</v>
      </c>
      <c r="AN982" s="17" t="s">
        <v>94</v>
      </c>
      <c r="AO982" s="17" t="s">
        <v>94</v>
      </c>
      <c r="AP982" s="17" t="s">
        <v>94</v>
      </c>
      <c r="AQ982" s="17" t="s">
        <v>94</v>
      </c>
      <c r="AR982" s="17" t="s">
        <v>11712</v>
      </c>
      <c r="AS982" s="17"/>
      <c r="AT982" s="17"/>
      <c r="AU982" s="30" t="s">
        <v>11713</v>
      </c>
      <c r="AV982" s="14" t="s">
        <v>94</v>
      </c>
      <c r="AW982" s="74">
        <v>311635</v>
      </c>
      <c r="AX982" s="1" t="s">
        <v>11714</v>
      </c>
      <c r="AY982" s="17" t="s">
        <v>101</v>
      </c>
    </row>
    <row r="983" spans="1:51" ht="12.75" customHeight="1" x14ac:dyDescent="0.25">
      <c r="A983" s="5">
        <v>942</v>
      </c>
      <c r="B983" s="9">
        <v>942</v>
      </c>
      <c r="C983" s="9" t="s">
        <v>11715</v>
      </c>
      <c r="D983" s="57" t="str">
        <f>HYPERLINK("http://prodenv.dep.state.fl.us/DepNexus/public/electronic-documents/OG_942/facility!search","OG_942_Docs")</f>
        <v>OG_942_Docs</v>
      </c>
      <c r="E983" s="57" t="str">
        <f>HYPERLINK("https://ca.dep.state.fl.us/mapdirect/?focus=oilandgas&amp;zoom=query&amp;querytype=oilandgas&amp;queryvalues=OG_942","OG_942_Map")</f>
        <v>OG_942_Map</v>
      </c>
      <c r="F983" s="1" t="s">
        <v>265</v>
      </c>
      <c r="G983" s="1" t="s">
        <v>79</v>
      </c>
      <c r="H983" s="1" t="s">
        <v>8261</v>
      </c>
      <c r="I983" s="1" t="s">
        <v>11716</v>
      </c>
      <c r="J983" s="17" t="s">
        <v>82</v>
      </c>
      <c r="K983" s="17" t="s">
        <v>83</v>
      </c>
      <c r="L983" s="17" t="s">
        <v>101</v>
      </c>
      <c r="M983" s="17"/>
      <c r="N983" s="52" t="s">
        <v>11717</v>
      </c>
      <c r="O983" s="17" t="s">
        <v>270</v>
      </c>
      <c r="P983" s="17" t="s">
        <v>3395</v>
      </c>
      <c r="Q983" s="81" t="s">
        <v>11718</v>
      </c>
      <c r="R983" s="11">
        <v>26.171317999999999</v>
      </c>
      <c r="S983" s="11">
        <v>-81.108138999999994</v>
      </c>
      <c r="T983" s="11" t="s">
        <v>11719</v>
      </c>
      <c r="U983" s="11" t="s">
        <v>11720</v>
      </c>
      <c r="V983" s="17" t="s">
        <v>11721</v>
      </c>
      <c r="W983" s="17"/>
      <c r="X983" s="70">
        <v>38.700000000000003</v>
      </c>
      <c r="Y983" s="70">
        <v>15</v>
      </c>
      <c r="Z983" s="13">
        <v>28600</v>
      </c>
      <c r="AA983" s="13">
        <v>28698</v>
      </c>
      <c r="AB983" s="13"/>
      <c r="AC983" s="13">
        <v>28783</v>
      </c>
      <c r="AD983" s="86">
        <v>11795</v>
      </c>
      <c r="AE983" s="86">
        <v>11795</v>
      </c>
      <c r="AF983" s="70" t="s">
        <v>11722</v>
      </c>
      <c r="AG983" s="17" t="s">
        <v>11723</v>
      </c>
      <c r="AH983" s="17" t="s">
        <v>11411</v>
      </c>
      <c r="AI983" s="70" t="s">
        <v>11724</v>
      </c>
      <c r="AJ983" s="17" t="s">
        <v>11725</v>
      </c>
      <c r="AK983" s="17" t="s">
        <v>94</v>
      </c>
      <c r="AL983" s="17" t="s">
        <v>11726</v>
      </c>
      <c r="AM983" s="17" t="s">
        <v>95</v>
      </c>
      <c r="AN983" s="17" t="s">
        <v>94</v>
      </c>
      <c r="AO983" s="17" t="s">
        <v>5696</v>
      </c>
      <c r="AP983" s="17" t="s">
        <v>6135</v>
      </c>
      <c r="AQ983" s="17" t="s">
        <v>11727</v>
      </c>
      <c r="AR983" s="17" t="s">
        <v>11728</v>
      </c>
      <c r="AS983" s="17" t="s">
        <v>11729</v>
      </c>
      <c r="AT983" s="17"/>
      <c r="AU983" s="30" t="s">
        <v>11730</v>
      </c>
      <c r="AV983" s="14">
        <v>14069</v>
      </c>
      <c r="AW983" s="74"/>
      <c r="AX983" s="1"/>
      <c r="AY983" s="17" t="s">
        <v>101</v>
      </c>
    </row>
    <row r="984" spans="1:51" ht="12.75" customHeight="1" x14ac:dyDescent="0.25">
      <c r="A984" s="5">
        <v>943</v>
      </c>
      <c r="B984" s="9">
        <v>943</v>
      </c>
      <c r="C984" s="9" t="s">
        <v>11731</v>
      </c>
      <c r="D984" s="57" t="str">
        <f>HYPERLINK("http://prodenv.dep.state.fl.us/DepNexus/public/electronic-documents/OG_943/facility!search","OG_943_Docs")</f>
        <v>OG_943_Docs</v>
      </c>
      <c r="E984" s="57" t="str">
        <f>HYPERLINK("https://ca.dep.state.fl.us/mapdirect/?focus=oilandgas&amp;zoom=query&amp;querytype=oilandgas&amp;queryvalues=OG_943","OG_943_Map")</f>
        <v>OG_943_Map</v>
      </c>
      <c r="F984" s="1" t="s">
        <v>1682</v>
      </c>
      <c r="G984" s="1" t="s">
        <v>79</v>
      </c>
      <c r="H984" s="1" t="s">
        <v>8261</v>
      </c>
      <c r="I984" s="1" t="s">
        <v>11732</v>
      </c>
      <c r="J984" s="17" t="s">
        <v>82</v>
      </c>
      <c r="K984" s="17" t="s">
        <v>83</v>
      </c>
      <c r="L984" s="17"/>
      <c r="M984" s="17"/>
      <c r="N984" s="52" t="s">
        <v>7568</v>
      </c>
      <c r="O984" s="17" t="s">
        <v>86</v>
      </c>
      <c r="P984" s="17" t="s">
        <v>86</v>
      </c>
      <c r="Q984" s="81" t="s">
        <v>11733</v>
      </c>
      <c r="R984" s="11">
        <v>30.982327999999999</v>
      </c>
      <c r="S984" s="11">
        <v>-87.296643000000003</v>
      </c>
      <c r="T984" s="11" t="s">
        <v>11734</v>
      </c>
      <c r="U984" s="11" t="s">
        <v>11735</v>
      </c>
      <c r="V984" s="17" t="s">
        <v>11736</v>
      </c>
      <c r="W984" s="17" t="s">
        <v>110</v>
      </c>
      <c r="X984" s="70">
        <v>239.8</v>
      </c>
      <c r="Y984" s="70">
        <v>209.8</v>
      </c>
      <c r="Z984" s="13">
        <v>28612</v>
      </c>
      <c r="AA984" s="13">
        <v>28632</v>
      </c>
      <c r="AB984" s="13"/>
      <c r="AC984" s="13">
        <v>28707</v>
      </c>
      <c r="AD984" s="86">
        <v>16205</v>
      </c>
      <c r="AE984" s="86">
        <v>16205</v>
      </c>
      <c r="AF984" s="70" t="s">
        <v>2540</v>
      </c>
      <c r="AG984" s="17" t="s">
        <v>11737</v>
      </c>
      <c r="AH984" s="17" t="s">
        <v>94</v>
      </c>
      <c r="AI984" s="70" t="s">
        <v>94</v>
      </c>
      <c r="AJ984" s="17" t="s">
        <v>94</v>
      </c>
      <c r="AK984" s="17" t="s">
        <v>94</v>
      </c>
      <c r="AL984" s="17" t="s">
        <v>94</v>
      </c>
      <c r="AM984" s="17" t="s">
        <v>94</v>
      </c>
      <c r="AN984" s="17" t="s">
        <v>94</v>
      </c>
      <c r="AO984" s="17" t="s">
        <v>98</v>
      </c>
      <c r="AP984" s="17" t="s">
        <v>98</v>
      </c>
      <c r="AQ984" s="17" t="s">
        <v>98</v>
      </c>
      <c r="AR984" s="17" t="s">
        <v>94</v>
      </c>
      <c r="AS984" s="17" t="s">
        <v>11738</v>
      </c>
      <c r="AT984" s="17"/>
      <c r="AU984" s="30" t="s">
        <v>11739</v>
      </c>
      <c r="AV984" s="14">
        <v>14008</v>
      </c>
      <c r="AW984" s="74"/>
      <c r="AX984" s="1"/>
      <c r="AY984" s="17" t="s">
        <v>101</v>
      </c>
    </row>
    <row r="985" spans="1:51" ht="12.75" customHeight="1" x14ac:dyDescent="0.25">
      <c r="A985" s="5">
        <v>944</v>
      </c>
      <c r="B985" s="9">
        <v>944</v>
      </c>
      <c r="C985" s="9" t="s">
        <v>11740</v>
      </c>
      <c r="D985" s="57" t="str">
        <f>HYPERLINK("http://prodenv.dep.state.fl.us/DepNexus/public/electronic-documents/OG_944/facility!search","OG_944_Docs")</f>
        <v>OG_944_Docs</v>
      </c>
      <c r="E985" s="57" t="str">
        <f>HYPERLINK("https://ca.dep.state.fl.us/mapdirect/?focus=oilandgas&amp;zoom=query&amp;querytype=oilandgas&amp;queryvalues=OG_944","OG_944_Map")</f>
        <v>OG_944_Map</v>
      </c>
      <c r="F985" s="1" t="s">
        <v>1797</v>
      </c>
      <c r="G985" s="1" t="s">
        <v>5133</v>
      </c>
      <c r="H985" s="1" t="s">
        <v>8261</v>
      </c>
      <c r="I985" s="1" t="s">
        <v>11741</v>
      </c>
      <c r="J985" s="17" t="s">
        <v>82</v>
      </c>
      <c r="K985" s="17" t="s">
        <v>83</v>
      </c>
      <c r="L985" s="17"/>
      <c r="M985" s="17"/>
      <c r="N985" s="52" t="s">
        <v>6529</v>
      </c>
      <c r="O985" s="17" t="s">
        <v>86</v>
      </c>
      <c r="P985" s="17" t="s">
        <v>86</v>
      </c>
      <c r="Q985" s="81" t="s">
        <v>6634</v>
      </c>
      <c r="R985" s="11">
        <v>30.956751000000001</v>
      </c>
      <c r="S985" s="11">
        <v>-87.156103000000002</v>
      </c>
      <c r="T985" s="11" t="s">
        <v>11742</v>
      </c>
      <c r="U985" s="11" t="s">
        <v>11743</v>
      </c>
      <c r="V985" s="17" t="s">
        <v>11744</v>
      </c>
      <c r="W985" s="17"/>
      <c r="X985" s="70">
        <v>28.7</v>
      </c>
      <c r="Y985" s="70">
        <v>25.7</v>
      </c>
      <c r="Z985" s="13">
        <v>28612</v>
      </c>
      <c r="AA985" s="13">
        <v>28666</v>
      </c>
      <c r="AB985" s="13"/>
      <c r="AC985" s="13">
        <v>28738</v>
      </c>
      <c r="AD985" s="86">
        <v>15364</v>
      </c>
      <c r="AE985" s="70">
        <v>15484</v>
      </c>
      <c r="AF985" s="70" t="s">
        <v>2540</v>
      </c>
      <c r="AG985" s="17" t="s">
        <v>11745</v>
      </c>
      <c r="AH985" s="17" t="s">
        <v>94</v>
      </c>
      <c r="AI985" s="70" t="s">
        <v>94</v>
      </c>
      <c r="AJ985" s="17" t="s">
        <v>94</v>
      </c>
      <c r="AK985" s="17" t="s">
        <v>94</v>
      </c>
      <c r="AL985" s="17" t="s">
        <v>11746</v>
      </c>
      <c r="AM985" s="17" t="s">
        <v>94</v>
      </c>
      <c r="AN985" s="17" t="s">
        <v>94</v>
      </c>
      <c r="AO985" s="17" t="s">
        <v>98</v>
      </c>
      <c r="AP985" s="17" t="s">
        <v>98</v>
      </c>
      <c r="AQ985" s="17" t="s">
        <v>98</v>
      </c>
      <c r="AR985" s="17" t="s">
        <v>94</v>
      </c>
      <c r="AS985" s="17" t="s">
        <v>11747</v>
      </c>
      <c r="AT985" s="17"/>
      <c r="AU985" s="30" t="s">
        <v>11748</v>
      </c>
      <c r="AV985" s="14">
        <v>14052</v>
      </c>
      <c r="AW985" s="74"/>
      <c r="AX985" s="1"/>
      <c r="AY985" s="17" t="s">
        <v>101</v>
      </c>
    </row>
    <row r="986" spans="1:51" ht="12.75" customHeight="1" x14ac:dyDescent="0.25">
      <c r="A986" s="5">
        <v>944.1</v>
      </c>
      <c r="B986" s="9" t="s">
        <v>11749</v>
      </c>
      <c r="C986" s="9" t="s">
        <v>11740</v>
      </c>
      <c r="D986" s="57" t="str">
        <f>HYPERLINK("http://prodenv.dep.state.fl.us/DepNexus/public/electronic-documents/OG_944/facility!search","OG_944_Docs")</f>
        <v>OG_944_Docs</v>
      </c>
      <c r="E986" s="57" t="str">
        <f>HYPERLINK("https://ca.dep.state.fl.us/mapdirect/?focus=oilandgas&amp;zoom=query&amp;querytype=oilandgas&amp;queryvalues=OG_944","OG_944_Map")</f>
        <v>OG_944_Map</v>
      </c>
      <c r="F986" s="1" t="s">
        <v>1797</v>
      </c>
      <c r="G986" s="1" t="s">
        <v>5133</v>
      </c>
      <c r="H986" s="1" t="s">
        <v>1363</v>
      </c>
      <c r="I986" s="1" t="s">
        <v>11750</v>
      </c>
      <c r="J986" s="17" t="s">
        <v>3646</v>
      </c>
      <c r="K986" s="17" t="s">
        <v>412</v>
      </c>
      <c r="L986" s="17"/>
      <c r="M986" s="17"/>
      <c r="N986" s="52" t="s">
        <v>6470</v>
      </c>
      <c r="O986" s="17" t="s">
        <v>86</v>
      </c>
      <c r="P986" s="17" t="s">
        <v>86</v>
      </c>
      <c r="Q986" s="81" t="s">
        <v>6634</v>
      </c>
      <c r="R986" s="11">
        <v>30.956751000000001</v>
      </c>
      <c r="S986" s="11">
        <v>-87.156103000000002</v>
      </c>
      <c r="T986" s="11" t="s">
        <v>11742</v>
      </c>
      <c r="U986" s="11" t="s">
        <v>11743</v>
      </c>
      <c r="V986" s="17" t="s">
        <v>11744</v>
      </c>
      <c r="W986" s="17" t="s">
        <v>11751</v>
      </c>
      <c r="X986" s="70">
        <v>28.7</v>
      </c>
      <c r="Y986" s="70">
        <v>25.7</v>
      </c>
      <c r="Z986" s="13">
        <v>28748</v>
      </c>
      <c r="AA986" s="13">
        <v>28739</v>
      </c>
      <c r="AB986" s="13">
        <v>28818</v>
      </c>
      <c r="AC986" s="13"/>
      <c r="AD986" s="86">
        <v>15712</v>
      </c>
      <c r="AE986" s="86">
        <v>15763</v>
      </c>
      <c r="AF986" s="70" t="s">
        <v>3172</v>
      </c>
      <c r="AG986" s="17" t="s">
        <v>11745</v>
      </c>
      <c r="AH986" s="17" t="s">
        <v>94</v>
      </c>
      <c r="AI986" s="70" t="s">
        <v>11752</v>
      </c>
      <c r="AJ986" s="17" t="s">
        <v>11753</v>
      </c>
      <c r="AK986" s="17" t="s">
        <v>94</v>
      </c>
      <c r="AL986" s="17" t="s">
        <v>11754</v>
      </c>
      <c r="AM986" s="17" t="s">
        <v>95</v>
      </c>
      <c r="AN986" s="17" t="s">
        <v>94</v>
      </c>
      <c r="AO986" s="17" t="s">
        <v>11755</v>
      </c>
      <c r="AP986" s="17" t="s">
        <v>11756</v>
      </c>
      <c r="AQ986" s="17" t="s">
        <v>5636</v>
      </c>
      <c r="AR986" s="17" t="s">
        <v>11757</v>
      </c>
      <c r="AS986" s="17"/>
      <c r="AT986" s="17"/>
      <c r="AU986" s="30" t="s">
        <v>11758</v>
      </c>
      <c r="AV986" s="14">
        <v>14177</v>
      </c>
      <c r="AW986" s="74">
        <v>309901</v>
      </c>
      <c r="AX986" s="1" t="s">
        <v>11759</v>
      </c>
      <c r="AY986" s="17" t="s">
        <v>101</v>
      </c>
    </row>
    <row r="987" spans="1:51" ht="12.75" customHeight="1" x14ac:dyDescent="0.25">
      <c r="A987" s="5">
        <v>945</v>
      </c>
      <c r="B987" s="9">
        <v>945</v>
      </c>
      <c r="C987" s="9" t="s">
        <v>11760</v>
      </c>
      <c r="D987" s="57" t="str">
        <f>HYPERLINK("http://prodenv.dep.state.fl.us/DepNexus/public/electronic-documents/OG_945/facility!search","OG_945_Docs")</f>
        <v>OG_945_Docs</v>
      </c>
      <c r="E987" s="57" t="str">
        <f>HYPERLINK("https://ca.dep.state.fl.us/mapdirect/?focus=oilandgas&amp;zoom=query&amp;querytype=oilandgas&amp;queryvalues=OG_945","OG_945_Map")</f>
        <v>OG_945_Map</v>
      </c>
      <c r="F987" s="1" t="s">
        <v>1682</v>
      </c>
      <c r="G987" s="1" t="s">
        <v>79</v>
      </c>
      <c r="H987" s="1" t="s">
        <v>8261</v>
      </c>
      <c r="I987" s="1" t="s">
        <v>11761</v>
      </c>
      <c r="J987" s="17" t="s">
        <v>207</v>
      </c>
      <c r="K987" s="17" t="s">
        <v>208</v>
      </c>
      <c r="L987" s="17"/>
      <c r="M987" s="17" t="s">
        <v>207</v>
      </c>
      <c r="N987" s="52" t="s">
        <v>207</v>
      </c>
      <c r="O987" s="17" t="s">
        <v>86</v>
      </c>
      <c r="P987" s="17" t="s">
        <v>86</v>
      </c>
      <c r="Q987" s="81" t="s">
        <v>11762</v>
      </c>
      <c r="R987" s="11">
        <v>30.989325999999998</v>
      </c>
      <c r="S987" s="11">
        <v>-87.303586999999993</v>
      </c>
      <c r="T987" s="11" t="s">
        <v>11763</v>
      </c>
      <c r="U987" s="11" t="s">
        <v>11764</v>
      </c>
      <c r="V987" s="17" t="s">
        <v>11765</v>
      </c>
      <c r="W987" s="17"/>
      <c r="X987" s="70"/>
      <c r="Y987" s="70"/>
      <c r="Z987" s="13">
        <v>28626</v>
      </c>
      <c r="AA987" s="13"/>
      <c r="AB987" s="13"/>
      <c r="AC987" s="13"/>
      <c r="AD987" s="86"/>
      <c r="AE987" s="70"/>
      <c r="AF987" s="70" t="s">
        <v>207</v>
      </c>
      <c r="AG987" s="14" t="s">
        <v>207</v>
      </c>
      <c r="AH987" s="14" t="s">
        <v>207</v>
      </c>
      <c r="AI987" s="70" t="s">
        <v>207</v>
      </c>
      <c r="AJ987" s="14" t="s">
        <v>207</v>
      </c>
      <c r="AK987" s="14" t="s">
        <v>207</v>
      </c>
      <c r="AL987" s="14" t="s">
        <v>207</v>
      </c>
      <c r="AM987" s="14" t="s">
        <v>207</v>
      </c>
      <c r="AN987" s="14" t="s">
        <v>207</v>
      </c>
      <c r="AO987" s="14" t="s">
        <v>207</v>
      </c>
      <c r="AP987" s="14" t="s">
        <v>207</v>
      </c>
      <c r="AQ987" s="14" t="s">
        <v>207</v>
      </c>
      <c r="AR987" s="14" t="s">
        <v>207</v>
      </c>
      <c r="AS987" s="14" t="s">
        <v>207</v>
      </c>
      <c r="AT987" s="14" t="s">
        <v>207</v>
      </c>
      <c r="AU987" s="30" t="s">
        <v>11766</v>
      </c>
      <c r="AV987" s="14" t="s">
        <v>207</v>
      </c>
      <c r="AW987" s="74"/>
      <c r="AX987" s="1"/>
      <c r="AY987" s="17" t="s">
        <v>101</v>
      </c>
    </row>
    <row r="988" spans="1:51" ht="15" customHeight="1" x14ac:dyDescent="0.25">
      <c r="A988" s="5">
        <v>946</v>
      </c>
      <c r="B988" s="9">
        <v>946</v>
      </c>
      <c r="C988" s="9" t="s">
        <v>11767</v>
      </c>
      <c r="D988" s="57" t="str">
        <f>HYPERLINK("http://prodenv.dep.state.fl.us/DepNexus/public/electronic-documents/OG_946/facility!search","OG_946_Docs")</f>
        <v>OG_946_Docs</v>
      </c>
      <c r="E988" s="57" t="str">
        <f>HYPERLINK("https://ca.dep.state.fl.us/mapdirect/?focus=oilandgas&amp;zoom=query&amp;querytype=oilandgas&amp;queryvalues=OG_946","OG_946_Map")</f>
        <v>OG_946_Map</v>
      </c>
      <c r="F988" s="1" t="s">
        <v>1682</v>
      </c>
      <c r="G988" s="1" t="s">
        <v>79</v>
      </c>
      <c r="H988" s="1" t="s">
        <v>8261</v>
      </c>
      <c r="I988" s="1" t="s">
        <v>11768</v>
      </c>
      <c r="J988" s="17" t="s">
        <v>207</v>
      </c>
      <c r="K988" s="17" t="s">
        <v>208</v>
      </c>
      <c r="L988" s="17"/>
      <c r="M988" s="17" t="s">
        <v>207</v>
      </c>
      <c r="N988" s="52" t="s">
        <v>207</v>
      </c>
      <c r="O988" s="17" t="s">
        <v>86</v>
      </c>
      <c r="P988" s="17" t="s">
        <v>86</v>
      </c>
      <c r="Q988" s="81" t="s">
        <v>11769</v>
      </c>
      <c r="R988" s="11">
        <v>30.988878</v>
      </c>
      <c r="S988" s="11">
        <v>-87.285757000000004</v>
      </c>
      <c r="T988" s="11" t="s">
        <v>11770</v>
      </c>
      <c r="U988" s="11" t="s">
        <v>11771</v>
      </c>
      <c r="V988" s="17" t="s">
        <v>11772</v>
      </c>
      <c r="W988" s="17"/>
      <c r="X988" s="70"/>
      <c r="Y988" s="70"/>
      <c r="Z988" s="13">
        <v>28626</v>
      </c>
      <c r="AA988" s="13"/>
      <c r="AB988" s="13"/>
      <c r="AC988" s="13"/>
      <c r="AD988" s="86"/>
      <c r="AE988" s="70"/>
      <c r="AF988" s="70" t="s">
        <v>207</v>
      </c>
      <c r="AG988" s="14" t="s">
        <v>207</v>
      </c>
      <c r="AH988" s="14" t="s">
        <v>207</v>
      </c>
      <c r="AI988" s="70" t="s">
        <v>207</v>
      </c>
      <c r="AJ988" s="14" t="s">
        <v>207</v>
      </c>
      <c r="AK988" s="14" t="s">
        <v>207</v>
      </c>
      <c r="AL988" s="14" t="s">
        <v>207</v>
      </c>
      <c r="AM988" s="14" t="s">
        <v>207</v>
      </c>
      <c r="AN988" s="14" t="s">
        <v>207</v>
      </c>
      <c r="AO988" s="14" t="s">
        <v>207</v>
      </c>
      <c r="AP988" s="14" t="s">
        <v>207</v>
      </c>
      <c r="AQ988" s="14" t="s">
        <v>207</v>
      </c>
      <c r="AR988" s="14" t="s">
        <v>207</v>
      </c>
      <c r="AS988" s="14" t="s">
        <v>207</v>
      </c>
      <c r="AT988" s="14" t="s">
        <v>207</v>
      </c>
      <c r="AU988" s="30" t="s">
        <v>11773</v>
      </c>
      <c r="AV988" s="14" t="s">
        <v>207</v>
      </c>
      <c r="AW988" s="74"/>
      <c r="AX988" s="1"/>
      <c r="AY988" s="17" t="s">
        <v>101</v>
      </c>
    </row>
    <row r="989" spans="1:51" ht="12.75" customHeight="1" x14ac:dyDescent="0.25">
      <c r="A989" s="5">
        <v>947</v>
      </c>
      <c r="B989" s="9">
        <v>947</v>
      </c>
      <c r="C989" s="9" t="s">
        <v>11774</v>
      </c>
      <c r="D989" s="57" t="str">
        <f>HYPERLINK("http://prodenv.dep.state.fl.us/DepNexus/public/electronic-documents/OG_947/facility!search","OG_947_Docs")</f>
        <v>OG_947_Docs</v>
      </c>
      <c r="E989" s="57" t="str">
        <f>HYPERLINK("https://ca.dep.state.fl.us/mapdirect/?focus=oilandgas&amp;zoom=query&amp;querytype=oilandgas&amp;queryvalues=OG_947","OG_947_Map")</f>
        <v>OG_947_Map</v>
      </c>
      <c r="F989" s="1" t="s">
        <v>265</v>
      </c>
      <c r="G989" s="1" t="s">
        <v>79</v>
      </c>
      <c r="H989" s="1" t="s">
        <v>8261</v>
      </c>
      <c r="I989" s="1" t="s">
        <v>11775</v>
      </c>
      <c r="J989" s="17" t="s">
        <v>82</v>
      </c>
      <c r="K989" s="17" t="s">
        <v>83</v>
      </c>
      <c r="L989" s="17" t="s">
        <v>11776</v>
      </c>
      <c r="M989" s="17" t="s">
        <v>101</v>
      </c>
      <c r="N989" s="52" t="s">
        <v>6529</v>
      </c>
      <c r="O989" s="17" t="s">
        <v>270</v>
      </c>
      <c r="P989" s="17" t="s">
        <v>86</v>
      </c>
      <c r="Q989" s="81" t="s">
        <v>11777</v>
      </c>
      <c r="R989" s="11">
        <v>26.350331000000001</v>
      </c>
      <c r="S989" s="11">
        <v>-81.419454999999999</v>
      </c>
      <c r="T989" s="11" t="s">
        <v>11778</v>
      </c>
      <c r="U989" s="11" t="s">
        <v>11779</v>
      </c>
      <c r="V989" s="17" t="s">
        <v>11780</v>
      </c>
      <c r="W989" s="17"/>
      <c r="X989" s="70">
        <v>43</v>
      </c>
      <c r="Y989" s="70">
        <v>23.2</v>
      </c>
      <c r="Z989" s="13">
        <v>28647</v>
      </c>
      <c r="AA989" s="13">
        <v>28705</v>
      </c>
      <c r="AB989" s="13"/>
      <c r="AC989" s="13">
        <v>28783</v>
      </c>
      <c r="AD989" s="86">
        <v>11965</v>
      </c>
      <c r="AE989" s="86">
        <v>11965</v>
      </c>
      <c r="AF989" s="70" t="s">
        <v>3631</v>
      </c>
      <c r="AG989" s="17" t="s">
        <v>11781</v>
      </c>
      <c r="AH989" s="17" t="s">
        <v>11782</v>
      </c>
      <c r="AI989" s="70"/>
      <c r="AJ989" s="17"/>
      <c r="AK989" s="17" t="s">
        <v>95</v>
      </c>
      <c r="AL989" s="17" t="s">
        <v>11783</v>
      </c>
      <c r="AM989" s="17" t="s">
        <v>95</v>
      </c>
      <c r="AN989" s="17" t="s">
        <v>94</v>
      </c>
      <c r="AO989" s="17" t="s">
        <v>98</v>
      </c>
      <c r="AP989" s="17" t="s">
        <v>98</v>
      </c>
      <c r="AQ989" s="17" t="s">
        <v>98</v>
      </c>
      <c r="AR989" s="17" t="s">
        <v>94</v>
      </c>
      <c r="AS989" s="17" t="s">
        <v>11784</v>
      </c>
      <c r="AT989" s="17">
        <v>172</v>
      </c>
      <c r="AU989" s="30" t="s">
        <v>11785</v>
      </c>
      <c r="AV989" s="14">
        <v>14073</v>
      </c>
      <c r="AW989" s="74"/>
      <c r="AX989" s="1"/>
      <c r="AY989" s="17" t="s">
        <v>101</v>
      </c>
    </row>
    <row r="990" spans="1:51" ht="12.75" customHeight="1" x14ac:dyDescent="0.25">
      <c r="A990" s="5">
        <v>948</v>
      </c>
      <c r="B990" s="9">
        <v>948</v>
      </c>
      <c r="C990" s="9" t="s">
        <v>11786</v>
      </c>
      <c r="D990" s="57" t="str">
        <f>HYPERLINK("http://prodenv.dep.state.fl.us/DepNexus/public/electronic-documents/OG_948/facility!search","OG_948_Docs")</f>
        <v>OG_948_Docs</v>
      </c>
      <c r="E990" s="57" t="str">
        <f>HYPERLINK("https://ca.dep.state.fl.us/mapdirect/?focus=oilandgas&amp;zoom=query&amp;querytype=oilandgas&amp;queryvalues=OG_948","OG_948_Map")</f>
        <v>OG_948_Map</v>
      </c>
      <c r="F990" s="1" t="s">
        <v>1682</v>
      </c>
      <c r="G990" s="1" t="s">
        <v>5133</v>
      </c>
      <c r="H990" s="1" t="s">
        <v>1363</v>
      </c>
      <c r="I990" s="1" t="s">
        <v>11787</v>
      </c>
      <c r="J990" s="17" t="s">
        <v>3646</v>
      </c>
      <c r="K990" s="17" t="s">
        <v>412</v>
      </c>
      <c r="L990" s="17"/>
      <c r="M990" s="17"/>
      <c r="N990" s="52" t="s">
        <v>6529</v>
      </c>
      <c r="O990" s="17" t="s">
        <v>86</v>
      </c>
      <c r="P990" s="17" t="s">
        <v>86</v>
      </c>
      <c r="Q990" s="81" t="s">
        <v>11788</v>
      </c>
      <c r="R990" s="11">
        <v>31.002946000000001</v>
      </c>
      <c r="S990" s="11">
        <v>-87.171109000000001</v>
      </c>
      <c r="T990" s="11" t="s">
        <v>11789</v>
      </c>
      <c r="U990" s="11" t="s">
        <v>11790</v>
      </c>
      <c r="V990" s="17" t="s">
        <v>11791</v>
      </c>
      <c r="W990" s="17" t="s">
        <v>11792</v>
      </c>
      <c r="X990" s="70">
        <v>82.6</v>
      </c>
      <c r="Y990" s="70">
        <v>57.4</v>
      </c>
      <c r="Z990" s="13">
        <v>28661</v>
      </c>
      <c r="AA990" s="13">
        <v>28806</v>
      </c>
      <c r="AB990" s="13">
        <v>28955</v>
      </c>
      <c r="AC990" s="13"/>
      <c r="AD990" s="70">
        <v>15486</v>
      </c>
      <c r="AE990" s="86">
        <v>15831</v>
      </c>
      <c r="AF990" s="70" t="s">
        <v>11793</v>
      </c>
      <c r="AG990" s="17" t="s">
        <v>11794</v>
      </c>
      <c r="AH990" s="17" t="s">
        <v>94</v>
      </c>
      <c r="AI990" s="70" t="s">
        <v>11795</v>
      </c>
      <c r="AJ990" s="17" t="s">
        <v>11796</v>
      </c>
      <c r="AK990" s="17"/>
      <c r="AL990" s="17" t="s">
        <v>11797</v>
      </c>
      <c r="AM990" s="17" t="s">
        <v>95</v>
      </c>
      <c r="AN990" s="17"/>
      <c r="AO990" s="17" t="s">
        <v>11798</v>
      </c>
      <c r="AP990" s="17" t="s">
        <v>11799</v>
      </c>
      <c r="AQ990" s="17" t="s">
        <v>11666</v>
      </c>
      <c r="AR990" s="17" t="s">
        <v>11800</v>
      </c>
      <c r="AS990" s="17"/>
      <c r="AT990" s="17"/>
      <c r="AU990" s="30" t="s">
        <v>11801</v>
      </c>
      <c r="AV990" s="14" t="s">
        <v>94</v>
      </c>
      <c r="AW990" s="74">
        <v>311636</v>
      </c>
      <c r="AX990" s="1" t="s">
        <v>11802</v>
      </c>
      <c r="AY990" s="17" t="s">
        <v>101</v>
      </c>
    </row>
    <row r="991" spans="1:51" ht="12.75" customHeight="1" x14ac:dyDescent="0.25">
      <c r="A991" s="5">
        <v>949</v>
      </c>
      <c r="B991" s="9">
        <v>949</v>
      </c>
      <c r="C991" s="9" t="s">
        <v>11803</v>
      </c>
      <c r="D991" s="57" t="str">
        <f>HYPERLINK("http://prodenv.dep.state.fl.us/DepNexus/public/electronic-documents/OG_949/facility!search","OG_949_Docs")</f>
        <v>OG_949_Docs</v>
      </c>
      <c r="E991" s="57" t="str">
        <f>HYPERLINK("https://ca.dep.state.fl.us/mapdirect/?focus=oilandgas&amp;zoom=query&amp;querytype=oilandgas&amp;queryvalues=OG_949","OG_949_Map")</f>
        <v>OG_949_Map</v>
      </c>
      <c r="F991" s="1" t="s">
        <v>1752</v>
      </c>
      <c r="G991" s="1" t="s">
        <v>11251</v>
      </c>
      <c r="H991" s="1" t="s">
        <v>11804</v>
      </c>
      <c r="I991" s="1" t="s">
        <v>11805</v>
      </c>
      <c r="J991" s="17" t="s">
        <v>268</v>
      </c>
      <c r="K991" s="17" t="s">
        <v>2105</v>
      </c>
      <c r="L991" s="17"/>
      <c r="M991" s="17" t="s">
        <v>101</v>
      </c>
      <c r="N991" s="52" t="s">
        <v>11806</v>
      </c>
      <c r="O991" s="17" t="s">
        <v>86</v>
      </c>
      <c r="P991" s="17" t="s">
        <v>86</v>
      </c>
      <c r="Q991" s="81" t="s">
        <v>11807</v>
      </c>
      <c r="R991" s="11">
        <v>26.532250000000001</v>
      </c>
      <c r="S991" s="11">
        <v>-81.494810999999999</v>
      </c>
      <c r="T991" s="11" t="s">
        <v>11808</v>
      </c>
      <c r="U991" s="11" t="s">
        <v>11809</v>
      </c>
      <c r="V991" s="17" t="s">
        <v>11810</v>
      </c>
      <c r="W991" s="17"/>
      <c r="X991" s="70">
        <v>48</v>
      </c>
      <c r="Y991" s="70">
        <v>33</v>
      </c>
      <c r="Z991" s="13">
        <v>28661</v>
      </c>
      <c r="AA991" s="13">
        <v>28924</v>
      </c>
      <c r="AB991" s="13">
        <v>28962</v>
      </c>
      <c r="AC991" s="13">
        <v>35368</v>
      </c>
      <c r="AD991" s="86">
        <v>11518</v>
      </c>
      <c r="AE991" s="86">
        <v>11518</v>
      </c>
      <c r="AF991" s="70" t="s">
        <v>11811</v>
      </c>
      <c r="AG991" s="17" t="s">
        <v>8545</v>
      </c>
      <c r="AH991" s="17" t="s">
        <v>11812</v>
      </c>
      <c r="AI991" s="70" t="s">
        <v>7235</v>
      </c>
      <c r="AJ991" s="17" t="s">
        <v>11813</v>
      </c>
      <c r="AK991" s="17" t="s">
        <v>95</v>
      </c>
      <c r="AL991" s="17" t="s">
        <v>11814</v>
      </c>
      <c r="AM991" s="17" t="s">
        <v>95</v>
      </c>
      <c r="AN991" s="17"/>
      <c r="AO991" s="17" t="s">
        <v>11815</v>
      </c>
      <c r="AP991" s="17" t="s">
        <v>4176</v>
      </c>
      <c r="AQ991" s="17" t="s">
        <v>425</v>
      </c>
      <c r="AR991" s="17" t="s">
        <v>11816</v>
      </c>
      <c r="AS991" s="17" t="s">
        <v>11817</v>
      </c>
      <c r="AT991" s="17"/>
      <c r="AU991" s="30" t="s">
        <v>11818</v>
      </c>
      <c r="AV991" s="14">
        <v>14234</v>
      </c>
      <c r="AW991" s="74"/>
      <c r="AX991" s="1"/>
      <c r="AY991" s="17" t="s">
        <v>101</v>
      </c>
    </row>
    <row r="992" spans="1:51" ht="15" customHeight="1" x14ac:dyDescent="0.25">
      <c r="A992" s="5">
        <v>950</v>
      </c>
      <c r="B992" s="9">
        <v>950</v>
      </c>
      <c r="C992" s="9" t="s">
        <v>11819</v>
      </c>
      <c r="D992" s="57" t="str">
        <f>HYPERLINK("http://prodenv.dep.state.fl.us/DepNexus/public/electronic-documents/OG_950/facility!search","OG_950_Docs")</f>
        <v>OG_950_Docs</v>
      </c>
      <c r="E992" s="57" t="str">
        <f>HYPERLINK("https://ca.dep.state.fl.us/mapdirect/?focus=oilandgas&amp;zoom=query&amp;querytype=oilandgas&amp;queryvalues=OG_950","OG_950_Map")</f>
        <v>OG_950_Map</v>
      </c>
      <c r="F992" s="1" t="s">
        <v>2026</v>
      </c>
      <c r="G992" s="1" t="s">
        <v>79</v>
      </c>
      <c r="H992" s="1" t="s">
        <v>11820</v>
      </c>
      <c r="I992" s="1" t="s">
        <v>11821</v>
      </c>
      <c r="J992" s="17" t="s">
        <v>82</v>
      </c>
      <c r="K992" s="17" t="s">
        <v>83</v>
      </c>
      <c r="L992" s="17"/>
      <c r="M992" s="17"/>
      <c r="N992" s="52" t="s">
        <v>9617</v>
      </c>
      <c r="O992" s="17" t="s">
        <v>86</v>
      </c>
      <c r="P992" s="17" t="s">
        <v>86</v>
      </c>
      <c r="Q992" s="81" t="s">
        <v>11822</v>
      </c>
      <c r="R992" s="11">
        <v>26.668686999999998</v>
      </c>
      <c r="S992" s="11">
        <v>-81.748557000000005</v>
      </c>
      <c r="T992" s="11" t="s">
        <v>11823</v>
      </c>
      <c r="U992" s="11" t="s">
        <v>11824</v>
      </c>
      <c r="V992" s="17" t="s">
        <v>11825</v>
      </c>
      <c r="W992" s="17"/>
      <c r="X992" s="70">
        <v>38</v>
      </c>
      <c r="Y992" s="70">
        <v>13</v>
      </c>
      <c r="Z992" s="13">
        <v>28677</v>
      </c>
      <c r="AA992" s="13">
        <v>28753</v>
      </c>
      <c r="AB992" s="13"/>
      <c r="AC992" s="13">
        <v>28794</v>
      </c>
      <c r="AD992" s="86">
        <v>11581</v>
      </c>
      <c r="AE992" s="86">
        <v>11581</v>
      </c>
      <c r="AF992" s="70" t="s">
        <v>11826</v>
      </c>
      <c r="AG992" s="17" t="s">
        <v>8371</v>
      </c>
      <c r="AH992" s="17" t="s">
        <v>94</v>
      </c>
      <c r="AI992" s="70" t="s">
        <v>94</v>
      </c>
      <c r="AJ992" s="17" t="s">
        <v>94</v>
      </c>
      <c r="AK992" s="17" t="s">
        <v>94</v>
      </c>
      <c r="AL992" s="17" t="s">
        <v>11827</v>
      </c>
      <c r="AM992" s="17" t="s">
        <v>95</v>
      </c>
      <c r="AN992" s="17" t="s">
        <v>94</v>
      </c>
      <c r="AO992" s="17" t="s">
        <v>98</v>
      </c>
      <c r="AP992" s="17" t="s">
        <v>98</v>
      </c>
      <c r="AQ992" s="17" t="s">
        <v>98</v>
      </c>
      <c r="AR992" s="17" t="s">
        <v>94</v>
      </c>
      <c r="AS992" s="17" t="s">
        <v>11828</v>
      </c>
      <c r="AT992" s="17"/>
      <c r="AU992" s="30" t="s">
        <v>11829</v>
      </c>
      <c r="AV992" s="14">
        <v>14093</v>
      </c>
      <c r="AW992" s="74"/>
      <c r="AX992" s="1"/>
      <c r="AY992" s="17" t="s">
        <v>101</v>
      </c>
    </row>
    <row r="993" spans="1:51" ht="15" customHeight="1" x14ac:dyDescent="0.25">
      <c r="A993" s="5">
        <v>951</v>
      </c>
      <c r="B993" s="9">
        <v>951</v>
      </c>
      <c r="C993" s="9" t="s">
        <v>11830</v>
      </c>
      <c r="D993" s="57" t="str">
        <f>HYPERLINK("http://prodenv.dep.state.fl.us/DepNexus/public/electronic-documents/OG_951/facility!search","OG_951_Docs")</f>
        <v>OG_951_Docs</v>
      </c>
      <c r="E993" s="57" t="str">
        <f>HYPERLINK("https://ca.dep.state.fl.us/mapdirect/?focus=oilandgas&amp;zoom=query&amp;querytype=oilandgas&amp;queryvalues=OG_951","OG_951_Map")</f>
        <v>OG_951_Map</v>
      </c>
      <c r="F993" s="1" t="s">
        <v>1752</v>
      </c>
      <c r="G993" s="1" t="s">
        <v>79</v>
      </c>
      <c r="H993" s="1" t="s">
        <v>11831</v>
      </c>
      <c r="I993" s="1" t="s">
        <v>11832</v>
      </c>
      <c r="J993" s="17" t="s">
        <v>82</v>
      </c>
      <c r="K993" s="17" t="s">
        <v>83</v>
      </c>
      <c r="L993" s="17"/>
      <c r="M993" s="17" t="s">
        <v>101</v>
      </c>
      <c r="N993" s="52" t="s">
        <v>6529</v>
      </c>
      <c r="O993" s="17" t="s">
        <v>86</v>
      </c>
      <c r="P993" s="17" t="s">
        <v>86</v>
      </c>
      <c r="Q993" s="81" t="s">
        <v>11833</v>
      </c>
      <c r="R993" s="11">
        <v>26.625843</v>
      </c>
      <c r="S993" s="11">
        <v>-81.544837000000001</v>
      </c>
      <c r="T993" s="11" t="s">
        <v>11834</v>
      </c>
      <c r="U993" s="11" t="s">
        <v>11835</v>
      </c>
      <c r="V993" s="17" t="s">
        <v>11836</v>
      </c>
      <c r="W993" s="17"/>
      <c r="X993" s="70">
        <v>44.1</v>
      </c>
      <c r="Y993" s="70">
        <v>29</v>
      </c>
      <c r="Z993" s="13">
        <v>28717</v>
      </c>
      <c r="AA993" s="13">
        <v>28843</v>
      </c>
      <c r="AB993" s="13">
        <v>28901</v>
      </c>
      <c r="AC993" s="13">
        <v>28958</v>
      </c>
      <c r="AD993" s="86">
        <v>12603</v>
      </c>
      <c r="AE993" s="86">
        <v>12603</v>
      </c>
      <c r="AF993" s="70" t="s">
        <v>9908</v>
      </c>
      <c r="AG993" s="17" t="s">
        <v>11837</v>
      </c>
      <c r="AH993" s="17" t="s">
        <v>11838</v>
      </c>
      <c r="AI993" s="70" t="s">
        <v>94</v>
      </c>
      <c r="AJ993" s="17" t="s">
        <v>94</v>
      </c>
      <c r="AK993" s="17" t="s">
        <v>94</v>
      </c>
      <c r="AL993" s="17" t="s">
        <v>11839</v>
      </c>
      <c r="AM993" s="17" t="s">
        <v>95</v>
      </c>
      <c r="AN993" s="17" t="s">
        <v>94</v>
      </c>
      <c r="AO993" s="17" t="s">
        <v>98</v>
      </c>
      <c r="AP993" s="17" t="s">
        <v>98</v>
      </c>
      <c r="AQ993" s="17" t="s">
        <v>98</v>
      </c>
      <c r="AR993" s="17" t="s">
        <v>94</v>
      </c>
      <c r="AS993" s="17" t="s">
        <v>11840</v>
      </c>
      <c r="AT993" s="17">
        <v>211</v>
      </c>
      <c r="AU993" s="30" t="s">
        <v>11841</v>
      </c>
      <c r="AV993" s="14">
        <v>14197</v>
      </c>
      <c r="AW993" s="74"/>
      <c r="AX993" s="1"/>
      <c r="AY993" s="17" t="s">
        <v>101</v>
      </c>
    </row>
    <row r="994" spans="1:51" ht="12.75" customHeight="1" x14ac:dyDescent="0.25">
      <c r="A994" s="5">
        <v>952</v>
      </c>
      <c r="B994" s="9">
        <v>952</v>
      </c>
      <c r="C994" s="9" t="s">
        <v>11842</v>
      </c>
      <c r="D994" s="57" t="str">
        <f>HYPERLINK("http://prodenv.dep.state.fl.us/DepNexus/public/electronic-documents/OG_952/facility!search","OG_952_Docs")</f>
        <v>OG_952_Docs</v>
      </c>
      <c r="E994" s="57" t="str">
        <f>HYPERLINK("https://ca.dep.state.fl.us/mapdirect/?focus=oilandgas&amp;zoom=query&amp;querytype=oilandgas&amp;queryvalues=OG_952","OG_952_Map")</f>
        <v>OG_952_Map</v>
      </c>
      <c r="F994" s="1" t="s">
        <v>265</v>
      </c>
      <c r="G994" s="1" t="s">
        <v>79</v>
      </c>
      <c r="H994" s="1" t="s">
        <v>11843</v>
      </c>
      <c r="I994" s="1" t="s">
        <v>11844</v>
      </c>
      <c r="J994" s="17" t="s">
        <v>207</v>
      </c>
      <c r="K994" s="17" t="s">
        <v>208</v>
      </c>
      <c r="L994" s="17"/>
      <c r="M994" s="17" t="s">
        <v>207</v>
      </c>
      <c r="N994" s="52" t="s">
        <v>207</v>
      </c>
      <c r="O994" s="17" t="s">
        <v>270</v>
      </c>
      <c r="P994" s="17" t="s">
        <v>86</v>
      </c>
      <c r="Q994" s="81" t="s">
        <v>11845</v>
      </c>
      <c r="R994" s="11">
        <v>26.254317</v>
      </c>
      <c r="S994" s="11">
        <v>-81.126879000000002</v>
      </c>
      <c r="T994" s="11" t="s">
        <v>11846</v>
      </c>
      <c r="U994" s="11" t="s">
        <v>11847</v>
      </c>
      <c r="V994" s="17" t="s">
        <v>11848</v>
      </c>
      <c r="W994" s="17"/>
      <c r="X994" s="70"/>
      <c r="Y994" s="70"/>
      <c r="Z994" s="13">
        <v>28717</v>
      </c>
      <c r="AA994" s="13"/>
      <c r="AB994" s="13"/>
      <c r="AC994" s="13"/>
      <c r="AD994" s="86"/>
      <c r="AE994" s="70"/>
      <c r="AF994" s="70" t="s">
        <v>207</v>
      </c>
      <c r="AG994" s="14" t="s">
        <v>207</v>
      </c>
      <c r="AH994" s="14" t="s">
        <v>207</v>
      </c>
      <c r="AI994" s="70" t="s">
        <v>207</v>
      </c>
      <c r="AJ994" s="14" t="s">
        <v>207</v>
      </c>
      <c r="AK994" s="14" t="s">
        <v>207</v>
      </c>
      <c r="AL994" s="14" t="s">
        <v>207</v>
      </c>
      <c r="AM994" s="14" t="s">
        <v>207</v>
      </c>
      <c r="AN994" s="14" t="s">
        <v>207</v>
      </c>
      <c r="AO994" s="14" t="s">
        <v>207</v>
      </c>
      <c r="AP994" s="14" t="s">
        <v>207</v>
      </c>
      <c r="AQ994" s="14" t="s">
        <v>207</v>
      </c>
      <c r="AR994" s="14" t="s">
        <v>207</v>
      </c>
      <c r="AS994" s="14" t="s">
        <v>207</v>
      </c>
      <c r="AT994" s="14" t="s">
        <v>207</v>
      </c>
      <c r="AU994" s="30" t="s">
        <v>11849</v>
      </c>
      <c r="AV994" s="14" t="s">
        <v>207</v>
      </c>
      <c r="AW994" s="74"/>
      <c r="AX994" s="1"/>
      <c r="AY994" s="17" t="s">
        <v>101</v>
      </c>
    </row>
    <row r="995" spans="1:51" ht="12.75" customHeight="1" x14ac:dyDescent="0.25">
      <c r="A995" s="5">
        <v>953</v>
      </c>
      <c r="B995" s="9">
        <v>953</v>
      </c>
      <c r="C995" s="9" t="s">
        <v>11850</v>
      </c>
      <c r="D995" s="57" t="str">
        <f>HYPERLINK("http://prodenv.dep.state.fl.us/DepNexus/public/electronic-documents/OG_953/facility!search","OG_953_Docs")</f>
        <v>OG_953_Docs</v>
      </c>
      <c r="E995" s="57" t="str">
        <f>HYPERLINK("https://ca.dep.state.fl.us/mapdirect/?focus=oilandgas&amp;zoom=query&amp;querytype=oilandgas&amp;queryvalues=OG_953","OG_953_Map")</f>
        <v>OG_953_Map</v>
      </c>
      <c r="F995" s="1" t="s">
        <v>265</v>
      </c>
      <c r="G995" s="1" t="s">
        <v>79</v>
      </c>
      <c r="H995" s="1" t="s">
        <v>11843</v>
      </c>
      <c r="I995" s="1" t="s">
        <v>11851</v>
      </c>
      <c r="J995" s="17" t="s">
        <v>207</v>
      </c>
      <c r="K995" s="17" t="s">
        <v>208</v>
      </c>
      <c r="L995" s="17"/>
      <c r="M995" s="17" t="s">
        <v>207</v>
      </c>
      <c r="N995" s="52" t="s">
        <v>207</v>
      </c>
      <c r="O995" s="17" t="s">
        <v>270</v>
      </c>
      <c r="P995" s="17" t="s">
        <v>86</v>
      </c>
      <c r="Q995" s="81" t="s">
        <v>11852</v>
      </c>
      <c r="R995" s="11">
        <v>26.254072000000001</v>
      </c>
      <c r="S995" s="11">
        <v>-81.045354000000003</v>
      </c>
      <c r="T995" s="11" t="s">
        <v>11853</v>
      </c>
      <c r="U995" s="11" t="s">
        <v>11854</v>
      </c>
      <c r="V995" s="17" t="s">
        <v>11855</v>
      </c>
      <c r="W995" s="17"/>
      <c r="X995" s="70"/>
      <c r="Y995" s="70"/>
      <c r="Z995" s="13">
        <v>28717</v>
      </c>
      <c r="AA995" s="13"/>
      <c r="AB995" s="13"/>
      <c r="AC995" s="13"/>
      <c r="AD995" s="86"/>
      <c r="AE995" s="70"/>
      <c r="AF995" s="70" t="s">
        <v>207</v>
      </c>
      <c r="AG995" s="14" t="s">
        <v>207</v>
      </c>
      <c r="AH995" s="14" t="s">
        <v>207</v>
      </c>
      <c r="AI995" s="70" t="s">
        <v>207</v>
      </c>
      <c r="AJ995" s="14" t="s">
        <v>207</v>
      </c>
      <c r="AK995" s="14" t="s">
        <v>207</v>
      </c>
      <c r="AL995" s="14" t="s">
        <v>207</v>
      </c>
      <c r="AM995" s="14" t="s">
        <v>207</v>
      </c>
      <c r="AN995" s="14" t="s">
        <v>207</v>
      </c>
      <c r="AO995" s="14" t="s">
        <v>207</v>
      </c>
      <c r="AP995" s="14" t="s">
        <v>207</v>
      </c>
      <c r="AQ995" s="14" t="s">
        <v>207</v>
      </c>
      <c r="AR995" s="14" t="s">
        <v>207</v>
      </c>
      <c r="AS995" s="14" t="s">
        <v>207</v>
      </c>
      <c r="AT995" s="14" t="s">
        <v>207</v>
      </c>
      <c r="AU995" s="30" t="s">
        <v>11856</v>
      </c>
      <c r="AV995" s="14" t="s">
        <v>207</v>
      </c>
      <c r="AW995" s="74"/>
      <c r="AX995" s="1"/>
      <c r="AY995" s="17" t="s">
        <v>101</v>
      </c>
    </row>
    <row r="996" spans="1:51" ht="12.75" customHeight="1" x14ac:dyDescent="0.25">
      <c r="A996" s="5">
        <v>954</v>
      </c>
      <c r="B996" s="9">
        <v>954</v>
      </c>
      <c r="C996" s="9" t="s">
        <v>11857</v>
      </c>
      <c r="D996" s="57" t="str">
        <f>HYPERLINK("http://prodenv.dep.state.fl.us/DepNexus/public/electronic-documents/OG_954/facility!search","OG_954_Docs")</f>
        <v>OG_954_Docs</v>
      </c>
      <c r="E996" s="57" t="str">
        <f>HYPERLINK("https://ca.dep.state.fl.us/mapdirect/?focus=oilandgas&amp;zoom=query&amp;querytype=oilandgas&amp;queryvalues=OG_954","OG_954_Map")</f>
        <v>OG_954_Map</v>
      </c>
      <c r="F996" s="1" t="s">
        <v>1752</v>
      </c>
      <c r="G996" s="1" t="s">
        <v>4496</v>
      </c>
      <c r="H996" s="1" t="s">
        <v>8261</v>
      </c>
      <c r="I996" s="1" t="s">
        <v>11858</v>
      </c>
      <c r="J996" s="17" t="s">
        <v>268</v>
      </c>
      <c r="K996" s="17" t="s">
        <v>412</v>
      </c>
      <c r="L996" s="17"/>
      <c r="M996" s="17"/>
      <c r="N996" s="52" t="s">
        <v>4735</v>
      </c>
      <c r="O996" s="17" t="s">
        <v>86</v>
      </c>
      <c r="P996" s="17" t="s">
        <v>86</v>
      </c>
      <c r="Q996" s="81" t="s">
        <v>5293</v>
      </c>
      <c r="R996" s="11">
        <v>26.525380999999999</v>
      </c>
      <c r="S996" s="11">
        <v>-81.563231999999999</v>
      </c>
      <c r="T996" s="11" t="s">
        <v>11859</v>
      </c>
      <c r="U996" s="11" t="s">
        <v>11860</v>
      </c>
      <c r="V996" s="23" t="s">
        <v>11861</v>
      </c>
      <c r="W996" s="23" t="s">
        <v>11862</v>
      </c>
      <c r="X996" s="70">
        <v>48</v>
      </c>
      <c r="Y996" s="70">
        <v>33</v>
      </c>
      <c r="Z996" s="13">
        <v>28759</v>
      </c>
      <c r="AA996" s="13">
        <v>29030</v>
      </c>
      <c r="AB996" s="13">
        <v>29265</v>
      </c>
      <c r="AC996" s="13">
        <v>32454</v>
      </c>
      <c r="AD996" s="86">
        <v>11502</v>
      </c>
      <c r="AE996" s="86">
        <v>11970</v>
      </c>
      <c r="AF996" s="70" t="s">
        <v>11722</v>
      </c>
      <c r="AG996" s="17" t="s">
        <v>5691</v>
      </c>
      <c r="AH996" s="17" t="s">
        <v>5692</v>
      </c>
      <c r="AI996" s="70" t="s">
        <v>11863</v>
      </c>
      <c r="AJ996" s="17" t="s">
        <v>94</v>
      </c>
      <c r="AK996" s="17" t="s">
        <v>95</v>
      </c>
      <c r="AL996" s="17" t="s">
        <v>11864</v>
      </c>
      <c r="AM996" s="17" t="s">
        <v>825</v>
      </c>
      <c r="AN996" s="17" t="s">
        <v>86</v>
      </c>
      <c r="AO996" s="17" t="s">
        <v>11865</v>
      </c>
      <c r="AP996" s="17" t="s">
        <v>5061</v>
      </c>
      <c r="AQ996" s="17" t="s">
        <v>11866</v>
      </c>
      <c r="AR996" s="17" t="s">
        <v>11867</v>
      </c>
      <c r="AS996" s="17" t="s">
        <v>11868</v>
      </c>
      <c r="AT996" s="17">
        <v>178</v>
      </c>
      <c r="AU996" s="30" t="s">
        <v>11869</v>
      </c>
      <c r="AV996" s="14">
        <v>14317</v>
      </c>
      <c r="AW996" s="74"/>
      <c r="AX996" s="24" t="s">
        <v>11870</v>
      </c>
      <c r="AY996" s="17" t="s">
        <v>101</v>
      </c>
    </row>
    <row r="997" spans="1:51" ht="12.75" customHeight="1" x14ac:dyDescent="0.25">
      <c r="A997" s="5">
        <v>955</v>
      </c>
      <c r="B997" s="9">
        <v>955</v>
      </c>
      <c r="C997" s="9" t="s">
        <v>11871</v>
      </c>
      <c r="D997" s="57" t="str">
        <f>HYPERLINK("http://prodenv.dep.state.fl.us/DepNexus/public/electronic-documents/OG_955/facility!search","OG_955_Docs")</f>
        <v>OG_955_Docs</v>
      </c>
      <c r="E997" s="57" t="str">
        <f>HYPERLINK("https://ca.dep.state.fl.us/mapdirect/?focus=oilandgas&amp;zoom=query&amp;querytype=oilandgas&amp;queryvalues=OG_955","OG_955_Map")</f>
        <v>OG_955_Map</v>
      </c>
      <c r="F997" s="1" t="s">
        <v>1752</v>
      </c>
      <c r="G997" s="1" t="s">
        <v>79</v>
      </c>
      <c r="H997" s="1" t="s">
        <v>11872</v>
      </c>
      <c r="I997" s="1" t="s">
        <v>11873</v>
      </c>
      <c r="J997" s="17" t="s">
        <v>207</v>
      </c>
      <c r="K997" s="17" t="s">
        <v>208</v>
      </c>
      <c r="L997" s="17"/>
      <c r="M997" s="17" t="s">
        <v>207</v>
      </c>
      <c r="N997" s="52" t="s">
        <v>207</v>
      </c>
      <c r="O997" s="17" t="s">
        <v>270</v>
      </c>
      <c r="P997" s="17" t="s">
        <v>86</v>
      </c>
      <c r="Q997" s="81" t="s">
        <v>11874</v>
      </c>
      <c r="R997" s="11">
        <v>26.428207</v>
      </c>
      <c r="S997" s="11">
        <v>-81.023112999999995</v>
      </c>
      <c r="T997" s="11" t="s">
        <v>11875</v>
      </c>
      <c r="U997" s="11" t="s">
        <v>11876</v>
      </c>
      <c r="V997" s="17" t="s">
        <v>11877</v>
      </c>
      <c r="W997" s="17"/>
      <c r="X997" s="70"/>
      <c r="Y997" s="70"/>
      <c r="Z997" s="13">
        <v>28759</v>
      </c>
      <c r="AA997" s="13"/>
      <c r="AB997" s="13"/>
      <c r="AC997" s="13"/>
      <c r="AD997" s="86"/>
      <c r="AE997" s="70"/>
      <c r="AF997" s="70" t="s">
        <v>207</v>
      </c>
      <c r="AG997" s="14" t="s">
        <v>207</v>
      </c>
      <c r="AH997" s="14" t="s">
        <v>207</v>
      </c>
      <c r="AI997" s="70" t="s">
        <v>207</v>
      </c>
      <c r="AJ997" s="14" t="s">
        <v>207</v>
      </c>
      <c r="AK997" s="14" t="s">
        <v>207</v>
      </c>
      <c r="AL997" s="14" t="s">
        <v>207</v>
      </c>
      <c r="AM997" s="14" t="s">
        <v>207</v>
      </c>
      <c r="AN997" s="14" t="s">
        <v>207</v>
      </c>
      <c r="AO997" s="14" t="s">
        <v>207</v>
      </c>
      <c r="AP997" s="14" t="s">
        <v>207</v>
      </c>
      <c r="AQ997" s="14" t="s">
        <v>207</v>
      </c>
      <c r="AR997" s="14" t="s">
        <v>207</v>
      </c>
      <c r="AS997" s="14" t="s">
        <v>207</v>
      </c>
      <c r="AT997" s="17"/>
      <c r="AU997" s="30" t="s">
        <v>11878</v>
      </c>
      <c r="AV997" s="14" t="s">
        <v>207</v>
      </c>
      <c r="AW997" s="74"/>
      <c r="AX997" s="1"/>
      <c r="AY997" s="17" t="s">
        <v>101</v>
      </c>
    </row>
    <row r="998" spans="1:51" ht="15" customHeight="1" x14ac:dyDescent="0.25">
      <c r="A998" s="5">
        <v>956</v>
      </c>
      <c r="B998" s="9">
        <v>956</v>
      </c>
      <c r="C998" s="9" t="s">
        <v>11879</v>
      </c>
      <c r="D998" s="57" t="str">
        <f>HYPERLINK("http://prodenv.dep.state.fl.us/DepNexus/public/electronic-documents/OG_956/facility!search","OG_956_Docs")</f>
        <v>OG_956_Docs</v>
      </c>
      <c r="E998" s="57" t="str">
        <f>HYPERLINK("https://ca.dep.state.fl.us/mapdirect/?focus=oilandgas&amp;zoom=query&amp;querytype=oilandgas&amp;queryvalues=OG_956","OG_956_Map")</f>
        <v>OG_956_Map</v>
      </c>
      <c r="F998" s="1" t="s">
        <v>1041</v>
      </c>
      <c r="G998" s="1" t="s">
        <v>79</v>
      </c>
      <c r="H998" s="1" t="s">
        <v>7292</v>
      </c>
      <c r="I998" s="1" t="s">
        <v>11880</v>
      </c>
      <c r="J998" s="17" t="s">
        <v>82</v>
      </c>
      <c r="K998" s="17" t="s">
        <v>83</v>
      </c>
      <c r="L998" s="17"/>
      <c r="M998" s="17"/>
      <c r="N998" s="52" t="s">
        <v>9659</v>
      </c>
      <c r="O998" s="17" t="s">
        <v>86</v>
      </c>
      <c r="P998" s="17" t="s">
        <v>86</v>
      </c>
      <c r="Q998" s="81" t="s">
        <v>11881</v>
      </c>
      <c r="R998" s="11">
        <v>30.169988</v>
      </c>
      <c r="S998" s="11">
        <v>-82.544585999999995</v>
      </c>
      <c r="T998" s="11" t="s">
        <v>11882</v>
      </c>
      <c r="U998" s="11" t="s">
        <v>11883</v>
      </c>
      <c r="V998" s="17" t="s">
        <v>11884</v>
      </c>
      <c r="W998" s="17" t="s">
        <v>110</v>
      </c>
      <c r="X998" s="70">
        <v>19</v>
      </c>
      <c r="Y998" s="70">
        <v>10</v>
      </c>
      <c r="Z998" s="13">
        <v>28773</v>
      </c>
      <c r="AA998" s="13">
        <v>28791</v>
      </c>
      <c r="AB998" s="13">
        <v>28829</v>
      </c>
      <c r="AC998" s="13">
        <v>28829</v>
      </c>
      <c r="AD998" s="86">
        <v>2852</v>
      </c>
      <c r="AE998" s="86">
        <v>2852</v>
      </c>
      <c r="AF998" s="70" t="s">
        <v>7812</v>
      </c>
      <c r="AG998" s="17" t="s">
        <v>11885</v>
      </c>
      <c r="AH998" s="17" t="s">
        <v>11886</v>
      </c>
      <c r="AI998" s="70" t="s">
        <v>94</v>
      </c>
      <c r="AJ998" s="17" t="s">
        <v>94</v>
      </c>
      <c r="AK998" s="17" t="s">
        <v>95</v>
      </c>
      <c r="AL998" s="17" t="s">
        <v>94</v>
      </c>
      <c r="AM998" s="17" t="s">
        <v>94</v>
      </c>
      <c r="AN998" s="17" t="s">
        <v>94</v>
      </c>
      <c r="AO998" s="17" t="s">
        <v>98</v>
      </c>
      <c r="AP998" s="17" t="s">
        <v>98</v>
      </c>
      <c r="AQ998" s="17" t="s">
        <v>98</v>
      </c>
      <c r="AR998" s="17" t="s">
        <v>94</v>
      </c>
      <c r="AS998" s="17" t="s">
        <v>11887</v>
      </c>
      <c r="AT998" s="17">
        <v>113</v>
      </c>
      <c r="AU998" s="30" t="s">
        <v>11888</v>
      </c>
      <c r="AV998" s="14">
        <v>14106</v>
      </c>
      <c r="AW998" s="74"/>
      <c r="AX998" s="1"/>
      <c r="AY998" s="17" t="s">
        <v>101</v>
      </c>
    </row>
    <row r="999" spans="1:51" ht="12.75" customHeight="1" x14ac:dyDescent="0.25">
      <c r="A999" s="5">
        <v>957</v>
      </c>
      <c r="B999" s="9">
        <v>957</v>
      </c>
      <c r="C999" s="9" t="s">
        <v>11889</v>
      </c>
      <c r="D999" s="57" t="str">
        <f>HYPERLINK("http://prodenv.dep.state.fl.us/DepNexus/public/electronic-documents/OG_957/facility!search","OG_957_Docs")</f>
        <v>OG_957_Docs</v>
      </c>
      <c r="E999" s="57" t="str">
        <f>HYPERLINK("https://ca.dep.state.fl.us/mapdirect/?focus=oilandgas&amp;zoom=query&amp;querytype=oilandgas&amp;queryvalues=OG_957","OG_957_Map")</f>
        <v>OG_957_Map</v>
      </c>
      <c r="F999" s="1" t="s">
        <v>539</v>
      </c>
      <c r="G999" s="1" t="s">
        <v>79</v>
      </c>
      <c r="H999" s="1" t="s">
        <v>7041</v>
      </c>
      <c r="I999" s="1" t="s">
        <v>11890</v>
      </c>
      <c r="J999" s="17" t="s">
        <v>82</v>
      </c>
      <c r="K999" s="17" t="s">
        <v>83</v>
      </c>
      <c r="L999" s="17" t="s">
        <v>101</v>
      </c>
      <c r="M999" s="17" t="s">
        <v>101</v>
      </c>
      <c r="N999" s="52" t="s">
        <v>7568</v>
      </c>
      <c r="O999" s="17" t="s">
        <v>86</v>
      </c>
      <c r="P999" s="17" t="s">
        <v>86</v>
      </c>
      <c r="Q999" s="81" t="s">
        <v>11891</v>
      </c>
      <c r="R999" s="11">
        <v>30.016206</v>
      </c>
      <c r="S999" s="11">
        <v>-85.160746000000003</v>
      </c>
      <c r="T999" s="11" t="s">
        <v>11892</v>
      </c>
      <c r="U999" s="11" t="s">
        <v>11893</v>
      </c>
      <c r="V999" s="17" t="s">
        <v>11894</v>
      </c>
      <c r="W999" s="17"/>
      <c r="X999" s="70">
        <v>47</v>
      </c>
      <c r="Y999" s="70">
        <v>25</v>
      </c>
      <c r="Z999" s="13">
        <v>28773</v>
      </c>
      <c r="AA999" s="13">
        <v>28810</v>
      </c>
      <c r="AB999" s="13"/>
      <c r="AC999" s="13">
        <v>28872</v>
      </c>
      <c r="AD999" s="86">
        <v>14186</v>
      </c>
      <c r="AE999" s="86">
        <v>14186</v>
      </c>
      <c r="AF999" s="70" t="s">
        <v>11895</v>
      </c>
      <c r="AG999" s="17" t="s">
        <v>11896</v>
      </c>
      <c r="AH999" s="17" t="s">
        <v>94</v>
      </c>
      <c r="AI999" s="70" t="s">
        <v>94</v>
      </c>
      <c r="AJ999" s="17" t="s">
        <v>94</v>
      </c>
      <c r="AK999" s="17" t="s">
        <v>95</v>
      </c>
      <c r="AL999" s="17" t="s">
        <v>11897</v>
      </c>
      <c r="AM999" s="17" t="s">
        <v>95</v>
      </c>
      <c r="AN999" s="17" t="s">
        <v>94</v>
      </c>
      <c r="AO999" s="17" t="s">
        <v>98</v>
      </c>
      <c r="AP999" s="17" t="s">
        <v>98</v>
      </c>
      <c r="AQ999" s="17" t="s">
        <v>98</v>
      </c>
      <c r="AR999" s="17" t="s">
        <v>94</v>
      </c>
      <c r="AS999" s="17" t="s">
        <v>11898</v>
      </c>
      <c r="AT999" s="17"/>
      <c r="AU999" s="30" t="s">
        <v>11899</v>
      </c>
      <c r="AV999" s="14">
        <v>14173</v>
      </c>
      <c r="AW999" s="74"/>
      <c r="AX999" s="1"/>
      <c r="AY999" s="17" t="s">
        <v>101</v>
      </c>
    </row>
    <row r="1000" spans="1:51" ht="12.75" customHeight="1" x14ac:dyDescent="0.25">
      <c r="A1000" s="5">
        <v>958</v>
      </c>
      <c r="B1000" s="9">
        <v>958</v>
      </c>
      <c r="C1000" s="9" t="s">
        <v>11900</v>
      </c>
      <c r="D1000" s="57" t="str">
        <f>HYPERLINK("http://prodenv.dep.state.fl.us/DepNexus/public/electronic-documents/OG_958/facility!search","OG_958_Docs")</f>
        <v>OG_958_Docs</v>
      </c>
      <c r="E1000" s="57" t="str">
        <f>HYPERLINK("https://ca.dep.state.fl.us/mapdirect/?focus=oilandgas&amp;zoom=query&amp;querytype=oilandgas&amp;queryvalues=OG_958","OG_958_Map")</f>
        <v>OG_958_Map</v>
      </c>
      <c r="F1000" s="1" t="s">
        <v>1797</v>
      </c>
      <c r="G1000" s="1" t="s">
        <v>5133</v>
      </c>
      <c r="H1000" s="1" t="s">
        <v>8261</v>
      </c>
      <c r="I1000" s="1" t="s">
        <v>11901</v>
      </c>
      <c r="J1000" s="17" t="s">
        <v>268</v>
      </c>
      <c r="K1000" s="17" t="s">
        <v>5048</v>
      </c>
      <c r="L1000" s="17"/>
      <c r="M1000" s="17"/>
      <c r="N1000" s="52" t="s">
        <v>6529</v>
      </c>
      <c r="O1000" s="17" t="s">
        <v>86</v>
      </c>
      <c r="P1000" s="17" t="s">
        <v>86</v>
      </c>
      <c r="Q1000" s="81" t="s">
        <v>3775</v>
      </c>
      <c r="R1000" s="11">
        <v>30.936627999999999</v>
      </c>
      <c r="S1000" s="11">
        <v>-87.140861999999998</v>
      </c>
      <c r="T1000" s="11" t="s">
        <v>11902</v>
      </c>
      <c r="U1000" s="11" t="s">
        <v>11903</v>
      </c>
      <c r="V1000" s="17" t="s">
        <v>11904</v>
      </c>
      <c r="W1000" s="17" t="s">
        <v>11904</v>
      </c>
      <c r="X1000" s="70">
        <v>276.10000000000002</v>
      </c>
      <c r="Y1000" s="70">
        <v>246</v>
      </c>
      <c r="Z1000" s="13">
        <v>28815</v>
      </c>
      <c r="AA1000" s="13">
        <v>28842</v>
      </c>
      <c r="AB1000" s="13">
        <v>28917</v>
      </c>
      <c r="AC1000" s="13">
        <v>38182</v>
      </c>
      <c r="AD1000" s="70">
        <v>15843</v>
      </c>
      <c r="AE1000" s="86">
        <v>15847</v>
      </c>
      <c r="AF1000" s="70" t="s">
        <v>3034</v>
      </c>
      <c r="AG1000" s="17" t="s">
        <v>11905</v>
      </c>
      <c r="AH1000" s="17" t="s">
        <v>94</v>
      </c>
      <c r="AI1000" s="70" t="s">
        <v>11906</v>
      </c>
      <c r="AJ1000" s="17" t="s">
        <v>11907</v>
      </c>
      <c r="AK1000" s="17" t="s">
        <v>94</v>
      </c>
      <c r="AL1000" s="17" t="s">
        <v>11908</v>
      </c>
      <c r="AM1000" s="17" t="s">
        <v>95</v>
      </c>
      <c r="AN1000" s="17" t="s">
        <v>94</v>
      </c>
      <c r="AO1000" s="17" t="s">
        <v>11909</v>
      </c>
      <c r="AP1000" s="17" t="s">
        <v>11910</v>
      </c>
      <c r="AQ1000" s="17" t="s">
        <v>3898</v>
      </c>
      <c r="AR1000" s="17" t="s">
        <v>11911</v>
      </c>
      <c r="AS1000" s="17" t="s">
        <v>11912</v>
      </c>
      <c r="AT1000" s="17"/>
      <c r="AU1000" s="30" t="s">
        <v>11913</v>
      </c>
      <c r="AV1000" s="14">
        <v>14184</v>
      </c>
      <c r="AW1000" s="74"/>
      <c r="AX1000" s="1"/>
      <c r="AY1000" s="17" t="s">
        <v>101</v>
      </c>
    </row>
    <row r="1001" spans="1:51" ht="12.75" customHeight="1" x14ac:dyDescent="0.25">
      <c r="A1001" s="5">
        <v>959</v>
      </c>
      <c r="B1001" s="9">
        <v>959</v>
      </c>
      <c r="C1001" s="9" t="s">
        <v>11914</v>
      </c>
      <c r="D1001" s="57" t="str">
        <f>HYPERLINK("http://prodenv.dep.state.fl.us/DepNexus/public/electronic-documents/OG_959/facility!search","OG_959_Docs")</f>
        <v>OG_959_Docs</v>
      </c>
      <c r="E1001" s="57" t="str">
        <f>HYPERLINK("https://ca.dep.state.fl.us/mapdirect/?focus=oilandgas&amp;zoom=query&amp;querytype=oilandgas&amp;queryvalues=OG_959","OG_959_Map")</f>
        <v>OG_959_Map</v>
      </c>
      <c r="F1001" s="1" t="s">
        <v>2026</v>
      </c>
      <c r="G1001" s="1" t="s">
        <v>9085</v>
      </c>
      <c r="H1001" s="1" t="s">
        <v>8261</v>
      </c>
      <c r="I1001" s="1" t="s">
        <v>11915</v>
      </c>
      <c r="J1001" s="17" t="s">
        <v>82</v>
      </c>
      <c r="K1001" s="17" t="s">
        <v>83</v>
      </c>
      <c r="L1001" s="17"/>
      <c r="M1001" s="17"/>
      <c r="N1001" s="52" t="s">
        <v>6529</v>
      </c>
      <c r="O1001" s="17" t="s">
        <v>86</v>
      </c>
      <c r="P1001" s="17" t="s">
        <v>86</v>
      </c>
      <c r="Q1001" s="81" t="s">
        <v>11916</v>
      </c>
      <c r="R1001" s="11">
        <v>26.629163999999999</v>
      </c>
      <c r="S1001" s="11">
        <v>-81.679479000000001</v>
      </c>
      <c r="T1001" s="11" t="s">
        <v>11917</v>
      </c>
      <c r="U1001" s="11" t="s">
        <v>11918</v>
      </c>
      <c r="V1001" s="17" t="s">
        <v>11919</v>
      </c>
      <c r="W1001" s="17" t="s">
        <v>11920</v>
      </c>
      <c r="X1001" s="70">
        <v>42.6</v>
      </c>
      <c r="Y1001" s="70">
        <v>19</v>
      </c>
      <c r="Z1001" s="13">
        <v>28829</v>
      </c>
      <c r="AA1001" s="13">
        <v>28921</v>
      </c>
      <c r="AB1001" s="13"/>
      <c r="AC1001" s="13">
        <v>28957</v>
      </c>
      <c r="AD1001" s="86">
        <v>11445</v>
      </c>
      <c r="AE1001" s="70">
        <v>11852</v>
      </c>
      <c r="AF1001" s="70" t="s">
        <v>11921</v>
      </c>
      <c r="AG1001" s="17" t="s">
        <v>7889</v>
      </c>
      <c r="AH1001" s="17" t="s">
        <v>11922</v>
      </c>
      <c r="AI1001" s="70" t="s">
        <v>94</v>
      </c>
      <c r="AJ1001" s="17" t="s">
        <v>94</v>
      </c>
      <c r="AK1001" s="17" t="s">
        <v>95</v>
      </c>
      <c r="AL1001" s="17" t="s">
        <v>11923</v>
      </c>
      <c r="AM1001" s="17"/>
      <c r="AN1001" s="17" t="s">
        <v>94</v>
      </c>
      <c r="AO1001" s="17" t="s">
        <v>98</v>
      </c>
      <c r="AP1001" s="17" t="s">
        <v>98</v>
      </c>
      <c r="AQ1001" s="17" t="s">
        <v>98</v>
      </c>
      <c r="AR1001" s="17" t="s">
        <v>94</v>
      </c>
      <c r="AS1001" s="17" t="s">
        <v>11924</v>
      </c>
      <c r="AT1001" s="17"/>
      <c r="AU1001" s="30" t="s">
        <v>11925</v>
      </c>
      <c r="AV1001" s="14">
        <v>14232</v>
      </c>
      <c r="AW1001" s="74"/>
      <c r="AX1001" s="1"/>
      <c r="AY1001" s="17" t="s">
        <v>101</v>
      </c>
    </row>
    <row r="1002" spans="1:51" ht="15" customHeight="1" x14ac:dyDescent="0.25">
      <c r="A1002" s="5">
        <v>960</v>
      </c>
      <c r="B1002" s="9">
        <v>960</v>
      </c>
      <c r="C1002" s="9" t="s">
        <v>11926</v>
      </c>
      <c r="D1002" s="57" t="str">
        <f>HYPERLINK("http://prodenv.dep.state.fl.us/DepNexus/public/electronic-documents/OG_960/facility!search","OG_960_Docs")</f>
        <v>OG_960_Docs</v>
      </c>
      <c r="E1002" s="57" t="str">
        <f>HYPERLINK("https://ca.dep.state.fl.us/mapdirect/?focus=oilandgas&amp;zoom=query&amp;querytype=oilandgas&amp;queryvalues=OG_960","OG_960_Map")</f>
        <v>OG_960_Map</v>
      </c>
      <c r="F1002" s="1" t="s">
        <v>191</v>
      </c>
      <c r="G1002" s="1" t="s">
        <v>79</v>
      </c>
      <c r="H1002" s="1" t="s">
        <v>7041</v>
      </c>
      <c r="I1002" s="1" t="s">
        <v>11927</v>
      </c>
      <c r="J1002" s="17" t="s">
        <v>82</v>
      </c>
      <c r="K1002" s="17" t="s">
        <v>83</v>
      </c>
      <c r="L1002" s="17"/>
      <c r="M1002" s="17" t="s">
        <v>101</v>
      </c>
      <c r="N1002" s="52" t="s">
        <v>6945</v>
      </c>
      <c r="O1002" s="17" t="s">
        <v>86</v>
      </c>
      <c r="P1002" s="17" t="s">
        <v>86</v>
      </c>
      <c r="Q1002" s="81" t="s">
        <v>11928</v>
      </c>
      <c r="R1002" s="11">
        <v>29.944424000000001</v>
      </c>
      <c r="S1002" s="11">
        <v>-84.907193000000007</v>
      </c>
      <c r="T1002" s="11" t="s">
        <v>11929</v>
      </c>
      <c r="U1002" s="11" t="s">
        <v>11930</v>
      </c>
      <c r="V1002" s="17" t="s">
        <v>11931</v>
      </c>
      <c r="W1002" s="17" t="s">
        <v>110</v>
      </c>
      <c r="X1002" s="70"/>
      <c r="Y1002" s="70">
        <v>22</v>
      </c>
      <c r="Z1002" s="13">
        <v>28843</v>
      </c>
      <c r="AA1002" s="13">
        <v>28915</v>
      </c>
      <c r="AB1002" s="13">
        <v>28973</v>
      </c>
      <c r="AC1002" s="13">
        <v>28973</v>
      </c>
      <c r="AD1002" s="86">
        <v>12885</v>
      </c>
      <c r="AE1002" s="86">
        <v>12885</v>
      </c>
      <c r="AF1002" s="70" t="s">
        <v>1563</v>
      </c>
      <c r="AG1002" s="17" t="s">
        <v>11932</v>
      </c>
      <c r="AH1002" s="17" t="s">
        <v>94</v>
      </c>
      <c r="AI1002" s="70" t="s">
        <v>94</v>
      </c>
      <c r="AJ1002" s="17" t="s">
        <v>94</v>
      </c>
      <c r="AK1002" s="17" t="s">
        <v>95</v>
      </c>
      <c r="AL1002" s="17" t="s">
        <v>11933</v>
      </c>
      <c r="AM1002" s="17" t="s">
        <v>95</v>
      </c>
      <c r="AN1002" s="17" t="s">
        <v>94</v>
      </c>
      <c r="AO1002" s="17" t="s">
        <v>98</v>
      </c>
      <c r="AP1002" s="17" t="s">
        <v>98</v>
      </c>
      <c r="AQ1002" s="17" t="s">
        <v>98</v>
      </c>
      <c r="AR1002" s="17" t="s">
        <v>94</v>
      </c>
      <c r="AS1002" s="17" t="s">
        <v>11934</v>
      </c>
      <c r="AT1002" s="17">
        <v>205</v>
      </c>
      <c r="AU1002" s="30" t="s">
        <v>11935</v>
      </c>
      <c r="AV1002" s="14">
        <v>14231</v>
      </c>
      <c r="AW1002" s="74"/>
      <c r="AX1002" s="1"/>
      <c r="AY1002" s="17" t="s">
        <v>101</v>
      </c>
    </row>
    <row r="1003" spans="1:51" ht="12.75" customHeight="1" x14ac:dyDescent="0.25">
      <c r="A1003" s="5">
        <v>961</v>
      </c>
      <c r="B1003" s="9">
        <v>961</v>
      </c>
      <c r="C1003" s="9" t="s">
        <v>11936</v>
      </c>
      <c r="D1003" s="57" t="str">
        <f>HYPERLINK("http://prodenv.dep.state.fl.us/DepNexus/public/electronic-documents/OG_961/facility!search","OG_961_Docs")</f>
        <v>OG_961_Docs</v>
      </c>
      <c r="E1003" s="57" t="str">
        <f>HYPERLINK("https://ca.dep.state.fl.us/mapdirect/?focus=oilandgas&amp;zoom=query&amp;querytype=oilandgas&amp;queryvalues=OG_961","OG_961_Map")</f>
        <v>OG_961_Map</v>
      </c>
      <c r="F1003" s="1" t="s">
        <v>1797</v>
      </c>
      <c r="G1003" s="1" t="s">
        <v>5133</v>
      </c>
      <c r="H1003" s="1" t="s">
        <v>8261</v>
      </c>
      <c r="I1003" s="1" t="s">
        <v>11937</v>
      </c>
      <c r="J1003" s="17" t="s">
        <v>5135</v>
      </c>
      <c r="K1003" s="17" t="s">
        <v>83</v>
      </c>
      <c r="L1003" s="17"/>
      <c r="M1003" s="17"/>
      <c r="N1003" s="52" t="s">
        <v>9659</v>
      </c>
      <c r="O1003" s="17" t="s">
        <v>86</v>
      </c>
      <c r="P1003" s="17" t="s">
        <v>86</v>
      </c>
      <c r="Q1003" s="81" t="s">
        <v>6010</v>
      </c>
      <c r="R1003" s="11">
        <v>30.984655</v>
      </c>
      <c r="S1003" s="11">
        <v>-87.167304000000001</v>
      </c>
      <c r="T1003" s="11" t="s">
        <v>11938</v>
      </c>
      <c r="U1003" s="11" t="s">
        <v>11939</v>
      </c>
      <c r="V1003" s="17" t="s">
        <v>11940</v>
      </c>
      <c r="W1003" s="17" t="s">
        <v>11941</v>
      </c>
      <c r="X1003" s="70">
        <v>86.8</v>
      </c>
      <c r="Y1003" s="70">
        <v>62.5</v>
      </c>
      <c r="Z1003" s="13">
        <v>28843</v>
      </c>
      <c r="AA1003" s="13">
        <v>28906</v>
      </c>
      <c r="AB1003" s="13"/>
      <c r="AC1003" s="13">
        <v>28972</v>
      </c>
      <c r="AD1003" s="86">
        <v>15783</v>
      </c>
      <c r="AE1003" s="70"/>
      <c r="AF1003" s="70" t="s">
        <v>6803</v>
      </c>
      <c r="AG1003" s="17" t="s">
        <v>11942</v>
      </c>
      <c r="AH1003" s="17" t="s">
        <v>94</v>
      </c>
      <c r="AI1003" s="70" t="s">
        <v>94</v>
      </c>
      <c r="AJ1003" s="17" t="s">
        <v>94</v>
      </c>
      <c r="AK1003" s="17" t="s">
        <v>94</v>
      </c>
      <c r="AL1003" s="17" t="s">
        <v>11943</v>
      </c>
      <c r="AM1003" s="17" t="s">
        <v>95</v>
      </c>
      <c r="AN1003" s="17" t="s">
        <v>94</v>
      </c>
      <c r="AO1003" s="17" t="s">
        <v>98</v>
      </c>
      <c r="AP1003" s="17" t="s">
        <v>98</v>
      </c>
      <c r="AQ1003" s="17" t="s">
        <v>98</v>
      </c>
      <c r="AR1003" s="17" t="s">
        <v>94</v>
      </c>
      <c r="AS1003" s="17" t="s">
        <v>11944</v>
      </c>
      <c r="AT1003" s="17"/>
      <c r="AU1003" s="30" t="s">
        <v>11945</v>
      </c>
      <c r="AV1003" s="14" t="s">
        <v>94</v>
      </c>
      <c r="AW1003" s="74"/>
      <c r="AX1003" s="1"/>
      <c r="AY1003" s="17" t="s">
        <v>101</v>
      </c>
    </row>
    <row r="1004" spans="1:51" ht="12.75" customHeight="1" x14ac:dyDescent="0.25">
      <c r="A1004" s="5">
        <v>961.1</v>
      </c>
      <c r="B1004" s="9" t="s">
        <v>11946</v>
      </c>
      <c r="C1004" s="9" t="s">
        <v>11936</v>
      </c>
      <c r="D1004" s="57" t="str">
        <f>HYPERLINK("http://prodenv.dep.state.fl.us/DepNexus/public/electronic-documents/OG_961/facility!search","OG_961_Docs")</f>
        <v>OG_961_Docs</v>
      </c>
      <c r="E1004" s="57" t="str">
        <f>HYPERLINK("https://ca.dep.state.fl.us/mapdirect/?focus=oilandgas&amp;zoom=query&amp;querytype=oilandgas&amp;queryvalues=OG_961","OG_961_Map")</f>
        <v>OG_961_Map</v>
      </c>
      <c r="F1004" s="1" t="s">
        <v>1797</v>
      </c>
      <c r="G1004" s="1" t="s">
        <v>5133</v>
      </c>
      <c r="H1004" s="1" t="s">
        <v>1363</v>
      </c>
      <c r="I1004" s="1" t="s">
        <v>11947</v>
      </c>
      <c r="J1004" s="17" t="s">
        <v>5135</v>
      </c>
      <c r="K1004" s="17" t="s">
        <v>412</v>
      </c>
      <c r="L1004" s="17"/>
      <c r="M1004" s="17"/>
      <c r="N1004" s="52" t="s">
        <v>6338</v>
      </c>
      <c r="O1004" s="17" t="s">
        <v>86</v>
      </c>
      <c r="P1004" s="17" t="s">
        <v>86</v>
      </c>
      <c r="Q1004" s="81" t="s">
        <v>11948</v>
      </c>
      <c r="R1004" s="11">
        <v>30.984655</v>
      </c>
      <c r="S1004" s="11">
        <v>-87.167304000000001</v>
      </c>
      <c r="T1004" s="11" t="s">
        <v>11938</v>
      </c>
      <c r="U1004" s="11" t="s">
        <v>11939</v>
      </c>
      <c r="V1004" s="17" t="s">
        <v>11940</v>
      </c>
      <c r="W1004" s="17"/>
      <c r="X1004" s="70">
        <v>86.8</v>
      </c>
      <c r="Y1004" s="70">
        <v>62.5</v>
      </c>
      <c r="Z1004" s="13">
        <v>28843</v>
      </c>
      <c r="AA1004" s="13">
        <v>28973</v>
      </c>
      <c r="AB1004" s="13">
        <v>29053</v>
      </c>
      <c r="AC1004" s="13"/>
      <c r="AD1004" s="86">
        <v>15531</v>
      </c>
      <c r="AE1004" s="70"/>
      <c r="AF1004" s="70" t="s">
        <v>6803</v>
      </c>
      <c r="AG1004" s="17" t="s">
        <v>11942</v>
      </c>
      <c r="AH1004" s="17"/>
      <c r="AI1004" s="70" t="s">
        <v>11949</v>
      </c>
      <c r="AJ1004" s="23" t="s">
        <v>11950</v>
      </c>
      <c r="AK1004" s="17" t="s">
        <v>94</v>
      </c>
      <c r="AL1004" s="17" t="s">
        <v>11951</v>
      </c>
      <c r="AM1004" s="17"/>
      <c r="AN1004" s="17" t="s">
        <v>94</v>
      </c>
      <c r="AO1004" s="17" t="s">
        <v>11952</v>
      </c>
      <c r="AP1004" s="17" t="s">
        <v>11953</v>
      </c>
      <c r="AQ1004" s="17" t="s">
        <v>11954</v>
      </c>
      <c r="AR1004" s="17" t="s">
        <v>11955</v>
      </c>
      <c r="AS1004" s="17"/>
      <c r="AT1004" s="17"/>
      <c r="AU1004" s="30" t="s">
        <v>11956</v>
      </c>
      <c r="AV1004" s="14">
        <v>14271</v>
      </c>
      <c r="AW1004" s="74">
        <v>311637</v>
      </c>
      <c r="AX1004" s="1" t="s">
        <v>11957</v>
      </c>
      <c r="AY1004" s="17" t="s">
        <v>101</v>
      </c>
    </row>
    <row r="1005" spans="1:51" ht="12.75" customHeight="1" x14ac:dyDescent="0.25">
      <c r="A1005" s="5">
        <v>962</v>
      </c>
      <c r="B1005" s="9">
        <v>962</v>
      </c>
      <c r="C1005" s="9" t="s">
        <v>11958</v>
      </c>
      <c r="D1005" s="57" t="str">
        <f>HYPERLINK("http://prodenv.dep.state.fl.us/DepNexus/public/electronic-documents/OG_962/facility!search","OG_962_Docs")</f>
        <v>OG_962_Docs</v>
      </c>
      <c r="E1005" s="57" t="str">
        <f>HYPERLINK("https://ca.dep.state.fl.us/mapdirect/?focus=oilandgas&amp;zoom=query&amp;querytype=oilandgas&amp;queryvalues=OG_962","OG_962_Map")</f>
        <v>OG_962_Map</v>
      </c>
      <c r="F1005" s="1" t="s">
        <v>265</v>
      </c>
      <c r="G1005" s="1" t="s">
        <v>7239</v>
      </c>
      <c r="H1005" s="1" t="s">
        <v>8318</v>
      </c>
      <c r="I1005" s="1" t="s">
        <v>11959</v>
      </c>
      <c r="J1005" s="17" t="s">
        <v>268</v>
      </c>
      <c r="K1005" s="17" t="s">
        <v>5525</v>
      </c>
      <c r="L1005" s="17"/>
      <c r="M1005" s="17"/>
      <c r="N1005" s="52" t="s">
        <v>4735</v>
      </c>
      <c r="O1005" s="17" t="s">
        <v>270</v>
      </c>
      <c r="P1005" s="17" t="s">
        <v>3395</v>
      </c>
      <c r="Q1005" s="81" t="s">
        <v>9871</v>
      </c>
      <c r="R1005" s="11">
        <v>26.248241</v>
      </c>
      <c r="S1005" s="11">
        <v>-81.295817999999997</v>
      </c>
      <c r="T1005" s="11" t="s">
        <v>11960</v>
      </c>
      <c r="U1005" s="11" t="s">
        <v>11961</v>
      </c>
      <c r="V1005" s="17" t="s">
        <v>11962</v>
      </c>
      <c r="W1005" s="17" t="s">
        <v>11963</v>
      </c>
      <c r="X1005" s="70">
        <v>40</v>
      </c>
      <c r="Y1005" s="70">
        <v>17.7</v>
      </c>
      <c r="Z1005" s="13">
        <v>28843</v>
      </c>
      <c r="AA1005" s="13">
        <v>29787</v>
      </c>
      <c r="AB1005" s="13">
        <v>29880</v>
      </c>
      <c r="AC1005" s="13">
        <v>36361</v>
      </c>
      <c r="AD1005" s="86">
        <v>11577</v>
      </c>
      <c r="AE1005" s="70">
        <v>11915</v>
      </c>
      <c r="AF1005" s="71" t="s">
        <v>11964</v>
      </c>
      <c r="AG1005" s="17" t="s">
        <v>11965</v>
      </c>
      <c r="AH1005" s="17" t="s">
        <v>11966</v>
      </c>
      <c r="AI1005" s="70" t="s">
        <v>11967</v>
      </c>
      <c r="AJ1005" s="17" t="s">
        <v>11968</v>
      </c>
      <c r="AK1005" s="17" t="s">
        <v>95</v>
      </c>
      <c r="AL1005" s="17" t="s">
        <v>11969</v>
      </c>
      <c r="AM1005" s="17" t="s">
        <v>95</v>
      </c>
      <c r="AN1005" s="17" t="s">
        <v>94</v>
      </c>
      <c r="AO1005" s="17" t="s">
        <v>11970</v>
      </c>
      <c r="AP1005" s="17" t="s">
        <v>4176</v>
      </c>
      <c r="AQ1005" s="17" t="s">
        <v>5738</v>
      </c>
      <c r="AR1005" s="17" t="s">
        <v>11971</v>
      </c>
      <c r="AS1005" s="17" t="s">
        <v>11972</v>
      </c>
      <c r="AT1005" s="17"/>
      <c r="AU1005" s="30" t="s">
        <v>11973</v>
      </c>
      <c r="AV1005" s="14">
        <v>15054</v>
      </c>
      <c r="AW1005" s="74"/>
      <c r="AX1005" s="1"/>
      <c r="AY1005" s="17" t="s">
        <v>101</v>
      </c>
    </row>
    <row r="1006" spans="1:51" ht="15" customHeight="1" x14ac:dyDescent="0.25">
      <c r="A1006" s="5">
        <v>962.1</v>
      </c>
      <c r="B1006" s="9" t="s">
        <v>11974</v>
      </c>
      <c r="C1006" s="9" t="s">
        <v>11958</v>
      </c>
      <c r="D1006" s="57" t="str">
        <f>HYPERLINK("http://prodenv.dep.state.fl.us/DepNexus/public/electronic-documents/OG_962/facility!search","OG_962_Docs")</f>
        <v>OG_962_Docs</v>
      </c>
      <c r="E1006" s="57" t="str">
        <f>HYPERLINK("https://ca.dep.state.fl.us/mapdirect/?focus=oilandgas&amp;zoom=query&amp;querytype=oilandgas&amp;queryvalues=OG_962","OG_962_Map")</f>
        <v>OG_962_Map</v>
      </c>
      <c r="F1006" s="1" t="s">
        <v>265</v>
      </c>
      <c r="G1006" s="1" t="s">
        <v>7239</v>
      </c>
      <c r="H1006" s="1" t="s">
        <v>1363</v>
      </c>
      <c r="I1006" s="1" t="s">
        <v>11975</v>
      </c>
      <c r="J1006" s="17" t="s">
        <v>3646</v>
      </c>
      <c r="K1006" s="17" t="s">
        <v>5525</v>
      </c>
      <c r="L1006" s="17"/>
      <c r="M1006" s="17"/>
      <c r="N1006" s="25" t="s">
        <v>8161</v>
      </c>
      <c r="O1006" s="17" t="s">
        <v>270</v>
      </c>
      <c r="P1006" s="17" t="s">
        <v>3395</v>
      </c>
      <c r="Q1006" s="81" t="s">
        <v>9871</v>
      </c>
      <c r="R1006" s="11">
        <v>26.248241</v>
      </c>
      <c r="S1006" s="11">
        <v>-81.295817999999997</v>
      </c>
      <c r="T1006" s="11" t="s">
        <v>11960</v>
      </c>
      <c r="U1006" s="11" t="s">
        <v>11961</v>
      </c>
      <c r="V1006" s="17" t="s">
        <v>11962</v>
      </c>
      <c r="W1006" s="17" t="s">
        <v>11976</v>
      </c>
      <c r="X1006" s="70"/>
      <c r="Y1006" s="70">
        <v>17.7</v>
      </c>
      <c r="Z1006" s="13">
        <v>36290</v>
      </c>
      <c r="AA1006" s="13">
        <v>36370</v>
      </c>
      <c r="AB1006" s="13">
        <v>36630</v>
      </c>
      <c r="AC1006" s="13"/>
      <c r="AD1006" s="86">
        <v>11589</v>
      </c>
      <c r="AE1006" s="70">
        <v>14219</v>
      </c>
      <c r="AF1006" s="71" t="s">
        <v>11964</v>
      </c>
      <c r="AG1006" s="17" t="s">
        <v>11965</v>
      </c>
      <c r="AH1006" s="17" t="s">
        <v>11966</v>
      </c>
      <c r="AI1006" s="71" t="s">
        <v>11977</v>
      </c>
      <c r="AJ1006" s="23" t="s">
        <v>11978</v>
      </c>
      <c r="AK1006" s="17" t="s">
        <v>95</v>
      </c>
      <c r="AL1006" s="17" t="s">
        <v>98</v>
      </c>
      <c r="AM1006" s="17" t="s">
        <v>98</v>
      </c>
      <c r="AN1006" s="23" t="s">
        <v>94</v>
      </c>
      <c r="AO1006" s="23" t="s">
        <v>4475</v>
      </c>
      <c r="AP1006" s="23" t="s">
        <v>4176</v>
      </c>
      <c r="AQ1006" s="23" t="s">
        <v>11979</v>
      </c>
      <c r="AR1006" s="23" t="s">
        <v>11980</v>
      </c>
      <c r="AS1006" s="17"/>
      <c r="AT1006" s="17"/>
      <c r="AU1006" s="30" t="s">
        <v>11981</v>
      </c>
      <c r="AV1006" s="14"/>
      <c r="AW1006" s="74">
        <v>309815</v>
      </c>
      <c r="AX1006" s="1"/>
      <c r="AY1006" s="17" t="s">
        <v>101</v>
      </c>
    </row>
    <row r="1007" spans="1:51" ht="15" customHeight="1" x14ac:dyDescent="0.25">
      <c r="A1007" s="5">
        <v>963</v>
      </c>
      <c r="B1007" s="9">
        <v>963</v>
      </c>
      <c r="C1007" s="9" t="s">
        <v>11982</v>
      </c>
      <c r="D1007" s="57" t="str">
        <f>HYPERLINK("http://prodenv.dep.state.fl.us/DepNexus/public/electronic-documents/OG_963/facility!search","OG_963_Docs")</f>
        <v>OG_963_Docs</v>
      </c>
      <c r="E1007" s="57" t="str">
        <f>HYPERLINK("https://ca.dep.state.fl.us/mapdirect/?focus=oilandgas&amp;zoom=query&amp;querytype=oilandgas&amp;queryvalues=OG_963","OG_963_Map")</f>
        <v>OG_963_Map</v>
      </c>
      <c r="F1007" s="1" t="s">
        <v>265</v>
      </c>
      <c r="G1007" s="1" t="s">
        <v>79</v>
      </c>
      <c r="H1007" s="1" t="s">
        <v>10837</v>
      </c>
      <c r="I1007" s="1" t="s">
        <v>11983</v>
      </c>
      <c r="J1007" s="17" t="s">
        <v>207</v>
      </c>
      <c r="K1007" s="17" t="s">
        <v>208</v>
      </c>
      <c r="L1007" s="17"/>
      <c r="M1007" s="17" t="s">
        <v>207</v>
      </c>
      <c r="N1007" s="52" t="s">
        <v>207</v>
      </c>
      <c r="O1007" s="17" t="s">
        <v>270</v>
      </c>
      <c r="P1007" s="17" t="s">
        <v>3395</v>
      </c>
      <c r="Q1007" s="81" t="s">
        <v>11984</v>
      </c>
      <c r="R1007" s="11">
        <v>26.177567</v>
      </c>
      <c r="S1007" s="11">
        <v>-81.192357999999999</v>
      </c>
      <c r="T1007" s="11" t="s">
        <v>11985</v>
      </c>
      <c r="U1007" s="11" t="s">
        <v>11986</v>
      </c>
      <c r="V1007" s="17" t="s">
        <v>11987</v>
      </c>
      <c r="W1007" s="17"/>
      <c r="X1007" s="70"/>
      <c r="Y1007" s="70"/>
      <c r="Z1007" s="13">
        <v>28843</v>
      </c>
      <c r="AA1007" s="13"/>
      <c r="AB1007" s="13"/>
      <c r="AC1007" s="13"/>
      <c r="AD1007" s="86"/>
      <c r="AE1007" s="70"/>
      <c r="AF1007" s="70" t="s">
        <v>207</v>
      </c>
      <c r="AG1007" s="14" t="s">
        <v>207</v>
      </c>
      <c r="AH1007" s="14" t="s">
        <v>207</v>
      </c>
      <c r="AI1007" s="70" t="s">
        <v>207</v>
      </c>
      <c r="AJ1007" s="14" t="s">
        <v>207</v>
      </c>
      <c r="AK1007" s="14" t="s">
        <v>207</v>
      </c>
      <c r="AL1007" s="14" t="s">
        <v>207</v>
      </c>
      <c r="AM1007" s="14" t="s">
        <v>207</v>
      </c>
      <c r="AN1007" s="14" t="s">
        <v>207</v>
      </c>
      <c r="AO1007" s="14" t="s">
        <v>207</v>
      </c>
      <c r="AP1007" s="14" t="s">
        <v>207</v>
      </c>
      <c r="AQ1007" s="14" t="s">
        <v>207</v>
      </c>
      <c r="AR1007" s="14" t="s">
        <v>207</v>
      </c>
      <c r="AS1007" s="14" t="s">
        <v>207</v>
      </c>
      <c r="AT1007" s="14" t="s">
        <v>207</v>
      </c>
      <c r="AU1007" s="30" t="s">
        <v>11988</v>
      </c>
      <c r="AV1007" s="14" t="s">
        <v>207</v>
      </c>
      <c r="AW1007" s="74"/>
      <c r="AX1007" s="1"/>
      <c r="AY1007" s="17" t="s">
        <v>101</v>
      </c>
    </row>
    <row r="1008" spans="1:51" ht="15" customHeight="1" x14ac:dyDescent="0.25">
      <c r="A1008" s="5">
        <v>964</v>
      </c>
      <c r="B1008" s="9">
        <v>964</v>
      </c>
      <c r="C1008" s="9" t="s">
        <v>11989</v>
      </c>
      <c r="D1008" s="57" t="str">
        <f>HYPERLINK("http://prodenv.dep.state.fl.us/DepNexus/public/electronic-documents/OG_964/facility!search","OG_964_Docs")</f>
        <v>OG_964_Docs</v>
      </c>
      <c r="E1008" s="57" t="str">
        <f>HYPERLINK("https://ca.dep.state.fl.us/mapdirect/?focus=oilandgas&amp;zoom=query&amp;querytype=oilandgas&amp;queryvalues=OG_964","OG_964_Map")</f>
        <v>OG_964_Map</v>
      </c>
      <c r="F1008" s="1" t="s">
        <v>265</v>
      </c>
      <c r="G1008" s="1" t="s">
        <v>79</v>
      </c>
      <c r="H1008" s="1" t="s">
        <v>10837</v>
      </c>
      <c r="I1008" s="1" t="s">
        <v>11990</v>
      </c>
      <c r="J1008" s="17" t="s">
        <v>207</v>
      </c>
      <c r="K1008" s="17" t="s">
        <v>208</v>
      </c>
      <c r="L1008" s="17"/>
      <c r="M1008" s="17" t="s">
        <v>207</v>
      </c>
      <c r="N1008" s="52" t="s">
        <v>207</v>
      </c>
      <c r="O1008" s="17" t="s">
        <v>270</v>
      </c>
      <c r="P1008" s="17" t="s">
        <v>3395</v>
      </c>
      <c r="Q1008" s="81" t="s">
        <v>11991</v>
      </c>
      <c r="R1008" s="11">
        <v>26.171424999999999</v>
      </c>
      <c r="S1008" s="11">
        <v>-81.183431999999996</v>
      </c>
      <c r="T1008" s="11" t="s">
        <v>11992</v>
      </c>
      <c r="U1008" s="11" t="s">
        <v>11993</v>
      </c>
      <c r="V1008" s="17" t="s">
        <v>11994</v>
      </c>
      <c r="W1008" s="17"/>
      <c r="X1008" s="70"/>
      <c r="Y1008" s="70"/>
      <c r="Z1008" s="13">
        <v>28843</v>
      </c>
      <c r="AA1008" s="13"/>
      <c r="AB1008" s="13"/>
      <c r="AC1008" s="13"/>
      <c r="AD1008" s="86"/>
      <c r="AE1008" s="70"/>
      <c r="AF1008" s="70" t="s">
        <v>207</v>
      </c>
      <c r="AG1008" s="14" t="s">
        <v>207</v>
      </c>
      <c r="AH1008" s="14" t="s">
        <v>207</v>
      </c>
      <c r="AI1008" s="70" t="s">
        <v>207</v>
      </c>
      <c r="AJ1008" s="14" t="s">
        <v>207</v>
      </c>
      <c r="AK1008" s="14" t="s">
        <v>207</v>
      </c>
      <c r="AL1008" s="14" t="s">
        <v>207</v>
      </c>
      <c r="AM1008" s="14" t="s">
        <v>207</v>
      </c>
      <c r="AN1008" s="14" t="s">
        <v>207</v>
      </c>
      <c r="AO1008" s="14" t="s">
        <v>207</v>
      </c>
      <c r="AP1008" s="14" t="s">
        <v>207</v>
      </c>
      <c r="AQ1008" s="14" t="s">
        <v>207</v>
      </c>
      <c r="AR1008" s="14" t="s">
        <v>207</v>
      </c>
      <c r="AS1008" s="14" t="s">
        <v>207</v>
      </c>
      <c r="AT1008" s="14" t="s">
        <v>207</v>
      </c>
      <c r="AU1008" s="30" t="s">
        <v>11995</v>
      </c>
      <c r="AV1008" s="14" t="s">
        <v>207</v>
      </c>
      <c r="AW1008" s="74"/>
      <c r="AX1008" s="1"/>
      <c r="AY1008" s="17" t="s">
        <v>101</v>
      </c>
    </row>
    <row r="1009" spans="1:51" ht="12.75" customHeight="1" x14ac:dyDescent="0.25">
      <c r="A1009" s="5">
        <v>965</v>
      </c>
      <c r="B1009" s="9">
        <v>965</v>
      </c>
      <c r="C1009" s="9" t="s">
        <v>11996</v>
      </c>
      <c r="D1009" s="57" t="str">
        <f>HYPERLINK("http://prodenv.dep.state.fl.us/DepNexus/public/electronic-documents/OG_965/facility!search","OG_965_Docs")</f>
        <v>OG_965_Docs</v>
      </c>
      <c r="E1009" s="57" t="str">
        <f>HYPERLINK("https://ca.dep.state.fl.us/mapdirect/?focus=oilandgas&amp;zoom=query&amp;querytype=oilandgas&amp;queryvalues=OG_965","OG_965_Map")</f>
        <v>OG_965_Map</v>
      </c>
      <c r="F1009" s="1" t="s">
        <v>265</v>
      </c>
      <c r="G1009" s="1" t="s">
        <v>79</v>
      </c>
      <c r="H1009" s="1" t="s">
        <v>10837</v>
      </c>
      <c r="I1009" s="1" t="s">
        <v>11997</v>
      </c>
      <c r="J1009" s="17" t="s">
        <v>207</v>
      </c>
      <c r="K1009" s="17" t="s">
        <v>208</v>
      </c>
      <c r="L1009" s="17"/>
      <c r="M1009" s="17" t="s">
        <v>207</v>
      </c>
      <c r="N1009" s="52" t="s">
        <v>207</v>
      </c>
      <c r="O1009" s="17" t="s">
        <v>270</v>
      </c>
      <c r="P1009" s="17" t="s">
        <v>3395</v>
      </c>
      <c r="Q1009" s="81" t="s">
        <v>11998</v>
      </c>
      <c r="R1009" s="11">
        <v>26.171792</v>
      </c>
      <c r="S1009" s="11">
        <v>-81.175894</v>
      </c>
      <c r="T1009" s="11" t="s">
        <v>11999</v>
      </c>
      <c r="U1009" s="11" t="s">
        <v>12000</v>
      </c>
      <c r="V1009" s="17" t="s">
        <v>12001</v>
      </c>
      <c r="W1009" s="17"/>
      <c r="X1009" s="70"/>
      <c r="Y1009" s="70"/>
      <c r="Z1009" s="13">
        <v>28843</v>
      </c>
      <c r="AA1009" s="13"/>
      <c r="AB1009" s="13"/>
      <c r="AC1009" s="13"/>
      <c r="AD1009" s="86"/>
      <c r="AE1009" s="70"/>
      <c r="AF1009" s="70" t="s">
        <v>207</v>
      </c>
      <c r="AG1009" s="14" t="s">
        <v>207</v>
      </c>
      <c r="AH1009" s="14" t="s">
        <v>207</v>
      </c>
      <c r="AI1009" s="70" t="s">
        <v>207</v>
      </c>
      <c r="AJ1009" s="14" t="s">
        <v>207</v>
      </c>
      <c r="AK1009" s="14" t="s">
        <v>207</v>
      </c>
      <c r="AL1009" s="14" t="s">
        <v>207</v>
      </c>
      <c r="AM1009" s="14" t="s">
        <v>207</v>
      </c>
      <c r="AN1009" s="14" t="s">
        <v>207</v>
      </c>
      <c r="AO1009" s="14" t="s">
        <v>207</v>
      </c>
      <c r="AP1009" s="14" t="s">
        <v>207</v>
      </c>
      <c r="AQ1009" s="14" t="s">
        <v>207</v>
      </c>
      <c r="AR1009" s="14" t="s">
        <v>207</v>
      </c>
      <c r="AS1009" s="14" t="s">
        <v>207</v>
      </c>
      <c r="AT1009" s="14" t="s">
        <v>207</v>
      </c>
      <c r="AU1009" s="30" t="s">
        <v>12002</v>
      </c>
      <c r="AV1009" s="14" t="s">
        <v>207</v>
      </c>
      <c r="AW1009" s="74"/>
      <c r="AX1009" s="1"/>
      <c r="AY1009" s="17" t="s">
        <v>101</v>
      </c>
    </row>
    <row r="1010" spans="1:51" ht="12.75" customHeight="1" x14ac:dyDescent="0.25">
      <c r="A1010" s="5">
        <v>966</v>
      </c>
      <c r="B1010" s="9">
        <v>966</v>
      </c>
      <c r="C1010" s="9" t="s">
        <v>12003</v>
      </c>
      <c r="D1010" s="57" t="str">
        <f>HYPERLINK("http://prodenv.dep.state.fl.us/DepNexus/public/electronic-documents/OG_966/facility!search","OG_966_Docs")</f>
        <v>OG_966_Docs</v>
      </c>
      <c r="E1010" s="57" t="str">
        <f>HYPERLINK("https://ca.dep.state.fl.us/mapdirect/?focus=oilandgas&amp;zoom=query&amp;querytype=oilandgas&amp;queryvalues=OG_966","OG_966_Map")</f>
        <v>OG_966_Map</v>
      </c>
      <c r="F1010" s="1" t="s">
        <v>2026</v>
      </c>
      <c r="G1010" s="1" t="s">
        <v>9085</v>
      </c>
      <c r="H1010" s="1" t="s">
        <v>8261</v>
      </c>
      <c r="I1010" s="1" t="s">
        <v>12004</v>
      </c>
      <c r="J1010" s="17" t="s">
        <v>82</v>
      </c>
      <c r="K1010" s="17" t="s">
        <v>83</v>
      </c>
      <c r="L1010" s="17"/>
      <c r="M1010" s="17"/>
      <c r="N1010" s="52" t="s">
        <v>6529</v>
      </c>
      <c r="O1010" s="17" t="s">
        <v>86</v>
      </c>
      <c r="P1010" s="17" t="s">
        <v>86</v>
      </c>
      <c r="Q1010" s="81" t="s">
        <v>12005</v>
      </c>
      <c r="R1010" s="11">
        <v>26.638325999999999</v>
      </c>
      <c r="S1010" s="11">
        <v>-81.731211000000002</v>
      </c>
      <c r="T1010" s="11" t="s">
        <v>12006</v>
      </c>
      <c r="U1010" s="11" t="s">
        <v>12007</v>
      </c>
      <c r="V1010" s="17" t="s">
        <v>12008</v>
      </c>
      <c r="W1010" s="17"/>
      <c r="X1010" s="70">
        <v>45.5</v>
      </c>
      <c r="Y1010" s="70">
        <v>22.1</v>
      </c>
      <c r="Z1010" s="13">
        <v>28864</v>
      </c>
      <c r="AA1010" s="13">
        <v>29026</v>
      </c>
      <c r="AB1010" s="13"/>
      <c r="AC1010" s="13">
        <v>29053</v>
      </c>
      <c r="AD1010" s="86">
        <v>11450</v>
      </c>
      <c r="AE1010" s="86">
        <v>11450</v>
      </c>
      <c r="AF1010" s="70" t="s">
        <v>12009</v>
      </c>
      <c r="AG1010" s="17" t="s">
        <v>6400</v>
      </c>
      <c r="AH1010" s="17" t="s">
        <v>12010</v>
      </c>
      <c r="AI1010" s="70" t="s">
        <v>94</v>
      </c>
      <c r="AJ1010" s="17" t="s">
        <v>94</v>
      </c>
      <c r="AK1010" s="17" t="s">
        <v>825</v>
      </c>
      <c r="AL1010" s="17" t="s">
        <v>12011</v>
      </c>
      <c r="AM1010" s="17" t="s">
        <v>825</v>
      </c>
      <c r="AN1010" s="17" t="s">
        <v>94</v>
      </c>
      <c r="AO1010" s="17" t="s">
        <v>98</v>
      </c>
      <c r="AP1010" s="17" t="s">
        <v>98</v>
      </c>
      <c r="AQ1010" s="17" t="s">
        <v>98</v>
      </c>
      <c r="AR1010" s="17" t="s">
        <v>94</v>
      </c>
      <c r="AS1010" s="17" t="s">
        <v>12012</v>
      </c>
      <c r="AT1010" s="17"/>
      <c r="AU1010" s="30" t="s">
        <v>12013</v>
      </c>
      <c r="AV1010" s="14">
        <v>14307</v>
      </c>
      <c r="AW1010" s="74"/>
      <c r="AX1010" s="1"/>
      <c r="AY1010" s="17" t="s">
        <v>101</v>
      </c>
    </row>
    <row r="1011" spans="1:51" ht="12.75" customHeight="1" x14ac:dyDescent="0.25">
      <c r="A1011" s="5">
        <v>967</v>
      </c>
      <c r="B1011" s="9">
        <v>967</v>
      </c>
      <c r="C1011" s="9" t="s">
        <v>12014</v>
      </c>
      <c r="D1011" s="57" t="str">
        <f>HYPERLINK("http://prodenv.dep.state.fl.us/DepNexus/public/electronic-documents/OG_967/facility!search","OG_967_Docs")</f>
        <v>OG_967_Docs</v>
      </c>
      <c r="E1011" s="57" t="str">
        <f>HYPERLINK("https://ca.dep.state.fl.us/mapdirect/?focus=oilandgas&amp;zoom=query&amp;querytype=oilandgas&amp;queryvalues=OG_967","OG_967_Map")</f>
        <v>OG_967_Map</v>
      </c>
      <c r="F1011" s="1" t="s">
        <v>1797</v>
      </c>
      <c r="G1011" s="1" t="s">
        <v>5133</v>
      </c>
      <c r="H1011" s="1" t="s">
        <v>1363</v>
      </c>
      <c r="I1011" s="1" t="s">
        <v>12015</v>
      </c>
      <c r="J1011" s="17" t="s">
        <v>5135</v>
      </c>
      <c r="K1011" s="17" t="s">
        <v>412</v>
      </c>
      <c r="L1011" s="17"/>
      <c r="M1011" s="17"/>
      <c r="N1011" s="52" t="s">
        <v>6529</v>
      </c>
      <c r="O1011" s="17" t="s">
        <v>86</v>
      </c>
      <c r="P1011" s="17" t="s">
        <v>86</v>
      </c>
      <c r="Q1011" s="81" t="s">
        <v>12016</v>
      </c>
      <c r="R1011" s="11">
        <v>30.940722000000001</v>
      </c>
      <c r="S1011" s="11">
        <v>-87.150903999999997</v>
      </c>
      <c r="T1011" s="11" t="s">
        <v>12017</v>
      </c>
      <c r="U1011" s="11" t="s">
        <v>12018</v>
      </c>
      <c r="V1011" s="17" t="s">
        <v>12019</v>
      </c>
      <c r="W1011" s="17"/>
      <c r="X1011" s="70">
        <v>284.5</v>
      </c>
      <c r="Y1011" s="70">
        <v>255</v>
      </c>
      <c r="Z1011" s="13">
        <v>28864</v>
      </c>
      <c r="AA1011" s="13">
        <v>28899</v>
      </c>
      <c r="AB1011" s="13">
        <v>28957</v>
      </c>
      <c r="AC1011" s="13"/>
      <c r="AD1011" s="86">
        <v>15823</v>
      </c>
      <c r="AE1011" s="70">
        <v>15839</v>
      </c>
      <c r="AF1011" s="70" t="s">
        <v>2540</v>
      </c>
      <c r="AG1011" s="17" t="s">
        <v>12020</v>
      </c>
      <c r="AH1011" s="17" t="s">
        <v>94</v>
      </c>
      <c r="AI1011" s="70" t="s">
        <v>12021</v>
      </c>
      <c r="AJ1011" s="17" t="s">
        <v>12022</v>
      </c>
      <c r="AK1011" s="17" t="s">
        <v>94</v>
      </c>
      <c r="AL1011" s="17" t="s">
        <v>12023</v>
      </c>
      <c r="AM1011" s="17" t="s">
        <v>95</v>
      </c>
      <c r="AN1011" s="17" t="s">
        <v>94</v>
      </c>
      <c r="AO1011" s="17" t="s">
        <v>12024</v>
      </c>
      <c r="AP1011" s="17" t="s">
        <v>12025</v>
      </c>
      <c r="AQ1011" s="17" t="s">
        <v>4988</v>
      </c>
      <c r="AR1011" s="17" t="s">
        <v>12026</v>
      </c>
      <c r="AS1011" s="17"/>
      <c r="AT1011" s="17"/>
      <c r="AU1011" s="30" t="s">
        <v>12027</v>
      </c>
      <c r="AV1011" s="14">
        <v>14229</v>
      </c>
      <c r="AW1011" s="74">
        <v>311638</v>
      </c>
      <c r="AX1011" s="1" t="s">
        <v>12028</v>
      </c>
      <c r="AY1011" s="17" t="s">
        <v>101</v>
      </c>
    </row>
    <row r="1012" spans="1:51" ht="12.75" customHeight="1" x14ac:dyDescent="0.25">
      <c r="A1012" s="5">
        <v>968</v>
      </c>
      <c r="B1012" s="9">
        <v>968</v>
      </c>
      <c r="C1012" s="9" t="s">
        <v>12029</v>
      </c>
      <c r="D1012" s="57" t="str">
        <f>HYPERLINK("http://prodenv.dep.state.fl.us/DepNexus/public/electronic-documents/OG_968/facility!search","OG_968_Docs")</f>
        <v>OG_968_Docs</v>
      </c>
      <c r="E1012" s="57" t="str">
        <f>HYPERLINK("https://ca.dep.state.fl.us/mapdirect/?focus=oilandgas&amp;zoom=query&amp;querytype=oilandgas&amp;queryvalues=OG_968","OG_968_Map")</f>
        <v>OG_968_Map</v>
      </c>
      <c r="F1012" s="1" t="s">
        <v>1752</v>
      </c>
      <c r="G1012" s="1" t="s">
        <v>8522</v>
      </c>
      <c r="H1012" s="1" t="s">
        <v>12030</v>
      </c>
      <c r="I1012" s="1" t="s">
        <v>12031</v>
      </c>
      <c r="J1012" s="17" t="s">
        <v>82</v>
      </c>
      <c r="K1012" s="17" t="s">
        <v>83</v>
      </c>
      <c r="L1012" s="17"/>
      <c r="M1012" s="17"/>
      <c r="N1012" s="52" t="s">
        <v>5949</v>
      </c>
      <c r="O1012" s="17" t="s">
        <v>270</v>
      </c>
      <c r="P1012" s="17" t="s">
        <v>5157</v>
      </c>
      <c r="Q1012" s="81" t="s">
        <v>12032</v>
      </c>
      <c r="R1012" s="11">
        <v>26.333369000000001</v>
      </c>
      <c r="S1012" s="11">
        <v>-81.072929000000002</v>
      </c>
      <c r="T1012" s="11" t="s">
        <v>12033</v>
      </c>
      <c r="U1012" s="11" t="s">
        <v>12034</v>
      </c>
      <c r="V1012" s="17" t="s">
        <v>12035</v>
      </c>
      <c r="W1012" s="17" t="s">
        <v>110</v>
      </c>
      <c r="X1012" s="70">
        <v>36</v>
      </c>
      <c r="Y1012" s="70">
        <v>22</v>
      </c>
      <c r="Z1012" s="13">
        <v>28864</v>
      </c>
      <c r="AA1012" s="13">
        <v>29119</v>
      </c>
      <c r="AB1012" s="13">
        <v>29153</v>
      </c>
      <c r="AC1012" s="13">
        <v>29156</v>
      </c>
      <c r="AD1012" s="86">
        <v>11666</v>
      </c>
      <c r="AE1012" s="86">
        <v>11666</v>
      </c>
      <c r="AF1012" s="70" t="s">
        <v>12036</v>
      </c>
      <c r="AG1012" s="17" t="s">
        <v>12037</v>
      </c>
      <c r="AH1012" s="17" t="s">
        <v>12038</v>
      </c>
      <c r="AI1012" s="70" t="s">
        <v>94</v>
      </c>
      <c r="AJ1012" s="17" t="s">
        <v>94</v>
      </c>
      <c r="AK1012" s="17" t="s">
        <v>95</v>
      </c>
      <c r="AL1012" s="17" t="s">
        <v>12039</v>
      </c>
      <c r="AM1012" s="17" t="s">
        <v>95</v>
      </c>
      <c r="AN1012" s="17" t="s">
        <v>86</v>
      </c>
      <c r="AO1012" s="17" t="s">
        <v>98</v>
      </c>
      <c r="AP1012" s="17" t="s">
        <v>98</v>
      </c>
      <c r="AQ1012" s="17" t="s">
        <v>98</v>
      </c>
      <c r="AR1012" s="17" t="s">
        <v>94</v>
      </c>
      <c r="AS1012" s="17" t="s">
        <v>12040</v>
      </c>
      <c r="AT1012" s="17">
        <v>164</v>
      </c>
      <c r="AU1012" s="30" t="s">
        <v>12041</v>
      </c>
      <c r="AV1012" s="14">
        <v>14390</v>
      </c>
      <c r="AW1012" s="74"/>
      <c r="AX1012" s="1"/>
      <c r="AY1012" s="17" t="s">
        <v>101</v>
      </c>
    </row>
    <row r="1013" spans="1:51" ht="15" customHeight="1" x14ac:dyDescent="0.25">
      <c r="A1013" s="5">
        <v>969</v>
      </c>
      <c r="B1013" s="9">
        <v>969</v>
      </c>
      <c r="C1013" s="9" t="s">
        <v>12042</v>
      </c>
      <c r="D1013" s="57" t="str">
        <f>HYPERLINK("http://prodenv.dep.state.fl.us/DepNexus/public/electronic-documents/OG_969/facility!search","OG_969_Docs")</f>
        <v>OG_969_Docs</v>
      </c>
      <c r="E1013" s="57" t="str">
        <f>HYPERLINK("https://ca.dep.state.fl.us/mapdirect/?focus=oilandgas&amp;zoom=query&amp;querytype=oilandgas&amp;queryvalues=OG_969","OG_969_Map")</f>
        <v>OG_969_Map</v>
      </c>
      <c r="F1013" s="1" t="s">
        <v>2026</v>
      </c>
      <c r="G1013" s="1" t="s">
        <v>4496</v>
      </c>
      <c r="H1013" s="1" t="s">
        <v>8318</v>
      </c>
      <c r="I1013" s="1" t="s">
        <v>12043</v>
      </c>
      <c r="J1013" s="17" t="s">
        <v>268</v>
      </c>
      <c r="K1013" s="17" t="s">
        <v>5525</v>
      </c>
      <c r="L1013" s="17"/>
      <c r="M1013" s="17"/>
      <c r="N1013" s="52" t="s">
        <v>4735</v>
      </c>
      <c r="O1013" s="17" t="s">
        <v>86</v>
      </c>
      <c r="P1013" s="17" t="s">
        <v>86</v>
      </c>
      <c r="Q1013" s="81" t="s">
        <v>12044</v>
      </c>
      <c r="R1013" s="11">
        <v>26.569697000000001</v>
      </c>
      <c r="S1013" s="11">
        <v>-81.579496000000006</v>
      </c>
      <c r="T1013" s="11" t="s">
        <v>12045</v>
      </c>
      <c r="U1013" s="11" t="s">
        <v>12046</v>
      </c>
      <c r="V1013" s="17" t="s">
        <v>12047</v>
      </c>
      <c r="W1013" s="17" t="s">
        <v>12048</v>
      </c>
      <c r="X1013" s="70">
        <v>45</v>
      </c>
      <c r="Y1013" s="70">
        <v>31</v>
      </c>
      <c r="Z1013" s="13">
        <v>28920</v>
      </c>
      <c r="AA1013" s="13">
        <v>28976</v>
      </c>
      <c r="AB1013" s="13">
        <v>29146</v>
      </c>
      <c r="AC1013" s="13">
        <v>37925</v>
      </c>
      <c r="AD1013" s="86">
        <v>11477</v>
      </c>
      <c r="AE1013" s="86">
        <v>11973</v>
      </c>
      <c r="AF1013" s="70" t="s">
        <v>12049</v>
      </c>
      <c r="AG1013" s="17" t="s">
        <v>12050</v>
      </c>
      <c r="AH1013" s="17" t="s">
        <v>11138</v>
      </c>
      <c r="AI1013" s="70" t="s">
        <v>12051</v>
      </c>
      <c r="AJ1013" s="17" t="s">
        <v>12052</v>
      </c>
      <c r="AK1013" s="17" t="s">
        <v>94</v>
      </c>
      <c r="AL1013" s="17" t="s">
        <v>12053</v>
      </c>
      <c r="AM1013" s="17" t="s">
        <v>94</v>
      </c>
      <c r="AN1013" s="17" t="s">
        <v>86</v>
      </c>
      <c r="AO1013" s="17" t="s">
        <v>6134</v>
      </c>
      <c r="AP1013" s="17" t="s">
        <v>12054</v>
      </c>
      <c r="AQ1013" s="17" t="s">
        <v>12055</v>
      </c>
      <c r="AR1013" s="17" t="s">
        <v>12056</v>
      </c>
      <c r="AS1013" s="17" t="s">
        <v>12057</v>
      </c>
      <c r="AT1013" s="17">
        <v>180</v>
      </c>
      <c r="AU1013" s="30" t="s">
        <v>12058</v>
      </c>
      <c r="AV1013" s="14">
        <v>14295</v>
      </c>
      <c r="AW1013" s="74"/>
      <c r="AX1013" s="1" t="s">
        <v>12059</v>
      </c>
      <c r="AY1013" s="17" t="s">
        <v>101</v>
      </c>
    </row>
    <row r="1014" spans="1:51" ht="12.75" customHeight="1" x14ac:dyDescent="0.25">
      <c r="A1014" s="5">
        <v>970</v>
      </c>
      <c r="B1014" s="9">
        <v>970</v>
      </c>
      <c r="C1014" s="9" t="s">
        <v>12060</v>
      </c>
      <c r="D1014" s="57" t="str">
        <f>HYPERLINK("http://prodenv.dep.state.fl.us/DepNexus/public/electronic-documents/OG_970/facility!search","OG_970_Docs")</f>
        <v>OG_970_Docs</v>
      </c>
      <c r="E1014" s="57" t="str">
        <f>HYPERLINK("https://ca.dep.state.fl.us/mapdirect/?focus=oilandgas&amp;zoom=query&amp;querytype=oilandgas&amp;queryvalues=OG_970","OG_970_Map")</f>
        <v>OG_970_Map</v>
      </c>
      <c r="F1014" s="1" t="s">
        <v>829</v>
      </c>
      <c r="G1014" s="1" t="s">
        <v>79</v>
      </c>
      <c r="H1014" s="1" t="s">
        <v>12061</v>
      </c>
      <c r="I1014" s="1" t="s">
        <v>12062</v>
      </c>
      <c r="J1014" s="17" t="s">
        <v>82</v>
      </c>
      <c r="K1014" s="17" t="s">
        <v>83</v>
      </c>
      <c r="L1014" s="17"/>
      <c r="M1014" s="17" t="s">
        <v>101</v>
      </c>
      <c r="N1014" s="52" t="s">
        <v>86</v>
      </c>
      <c r="O1014" s="17" t="s">
        <v>86</v>
      </c>
      <c r="P1014" s="17" t="s">
        <v>86</v>
      </c>
      <c r="Q1014" s="81"/>
      <c r="R1014" s="11">
        <v>30.394376999999999</v>
      </c>
      <c r="S1014" s="11">
        <v>-86.411094000000006</v>
      </c>
      <c r="T1014" s="11" t="s">
        <v>12063</v>
      </c>
      <c r="U1014" s="11" t="s">
        <v>12064</v>
      </c>
      <c r="V1014" s="17" t="s">
        <v>12065</v>
      </c>
      <c r="W1014" s="17"/>
      <c r="X1014" s="70">
        <v>26</v>
      </c>
      <c r="Y1014" s="70">
        <v>9.1</v>
      </c>
      <c r="Z1014" s="13">
        <v>28892</v>
      </c>
      <c r="AA1014" s="13">
        <v>29276</v>
      </c>
      <c r="AB1014" s="13"/>
      <c r="AC1014" s="13">
        <v>29332</v>
      </c>
      <c r="AD1014" s="86">
        <v>14919</v>
      </c>
      <c r="AE1014" s="86">
        <v>14919</v>
      </c>
      <c r="AF1014" s="70" t="s">
        <v>12066</v>
      </c>
      <c r="AG1014" s="17" t="s">
        <v>12067</v>
      </c>
      <c r="AH1014" s="17" t="s">
        <v>94</v>
      </c>
      <c r="AI1014" s="70" t="s">
        <v>94</v>
      </c>
      <c r="AJ1014" s="17" t="s">
        <v>94</v>
      </c>
      <c r="AK1014" s="17" t="s">
        <v>94</v>
      </c>
      <c r="AL1014" s="17" t="s">
        <v>94</v>
      </c>
      <c r="AM1014" s="17" t="s">
        <v>94</v>
      </c>
      <c r="AN1014" s="17" t="s">
        <v>94</v>
      </c>
      <c r="AO1014" s="17" t="s">
        <v>98</v>
      </c>
      <c r="AP1014" s="17" t="s">
        <v>98</v>
      </c>
      <c r="AQ1014" s="17" t="s">
        <v>98</v>
      </c>
      <c r="AR1014" s="17" t="s">
        <v>94</v>
      </c>
      <c r="AS1014" s="17" t="s">
        <v>12068</v>
      </c>
      <c r="AT1014" s="17">
        <v>243</v>
      </c>
      <c r="AU1014" s="30" t="s">
        <v>12069</v>
      </c>
      <c r="AV1014" s="14">
        <v>14583</v>
      </c>
      <c r="AW1014" s="74"/>
      <c r="AX1014" s="1" t="s">
        <v>12070</v>
      </c>
      <c r="AY1014" s="17" t="s">
        <v>101</v>
      </c>
    </row>
    <row r="1015" spans="1:51" ht="15" customHeight="1" x14ac:dyDescent="0.25">
      <c r="A1015" s="5">
        <v>971</v>
      </c>
      <c r="B1015" s="9">
        <v>971</v>
      </c>
      <c r="C1015" s="9" t="s">
        <v>12071</v>
      </c>
      <c r="D1015" s="57" t="str">
        <f>HYPERLINK("http://prodenv.dep.state.fl.us/DepNexus/public/electronic-documents/OG_971/facility!search","OG_971_Docs")</f>
        <v>OG_971_Docs</v>
      </c>
      <c r="E1015" s="57" t="str">
        <f>HYPERLINK("https://ca.dep.state.fl.us/mapdirect/?focus=oilandgas&amp;zoom=query&amp;querytype=oilandgas&amp;queryvalues=OG_971","OG_971_Map")</f>
        <v>OG_971_Map</v>
      </c>
      <c r="F1015" s="1" t="s">
        <v>1797</v>
      </c>
      <c r="G1015" s="1" t="s">
        <v>5133</v>
      </c>
      <c r="H1015" s="1" t="s">
        <v>8261</v>
      </c>
      <c r="I1015" s="1" t="s">
        <v>12072</v>
      </c>
      <c r="J1015" s="17" t="s">
        <v>207</v>
      </c>
      <c r="K1015" s="17" t="s">
        <v>208</v>
      </c>
      <c r="L1015" s="17"/>
      <c r="M1015" s="17" t="s">
        <v>207</v>
      </c>
      <c r="N1015" s="52" t="s">
        <v>207</v>
      </c>
      <c r="O1015" s="17" t="s">
        <v>86</v>
      </c>
      <c r="P1015" s="17" t="s">
        <v>86</v>
      </c>
      <c r="Q1015" s="81" t="s">
        <v>6010</v>
      </c>
      <c r="R1015" s="11">
        <v>30.983250000000002</v>
      </c>
      <c r="S1015" s="11">
        <v>-87.168448999999995</v>
      </c>
      <c r="T1015" s="11" t="s">
        <v>12073</v>
      </c>
      <c r="U1015" s="11" t="s">
        <v>12074</v>
      </c>
      <c r="V1015" s="17" t="s">
        <v>12075</v>
      </c>
      <c r="W1015" s="17"/>
      <c r="X1015" s="70"/>
      <c r="Y1015" s="70"/>
      <c r="Z1015" s="13">
        <v>28892</v>
      </c>
      <c r="AA1015" s="13"/>
      <c r="AB1015" s="13"/>
      <c r="AC1015" s="13"/>
      <c r="AD1015" s="86"/>
      <c r="AE1015" s="70"/>
      <c r="AF1015" s="70" t="s">
        <v>207</v>
      </c>
      <c r="AG1015" s="14" t="s">
        <v>207</v>
      </c>
      <c r="AH1015" s="14" t="s">
        <v>207</v>
      </c>
      <c r="AI1015" s="70" t="s">
        <v>207</v>
      </c>
      <c r="AJ1015" s="14" t="s">
        <v>207</v>
      </c>
      <c r="AK1015" s="14" t="s">
        <v>207</v>
      </c>
      <c r="AL1015" s="14" t="s">
        <v>207</v>
      </c>
      <c r="AM1015" s="14" t="s">
        <v>207</v>
      </c>
      <c r="AN1015" s="14" t="s">
        <v>207</v>
      </c>
      <c r="AO1015" s="14" t="s">
        <v>207</v>
      </c>
      <c r="AP1015" s="14" t="s">
        <v>207</v>
      </c>
      <c r="AQ1015" s="14" t="s">
        <v>207</v>
      </c>
      <c r="AR1015" s="14" t="s">
        <v>207</v>
      </c>
      <c r="AS1015" s="14" t="s">
        <v>207</v>
      </c>
      <c r="AT1015" s="14" t="s">
        <v>207</v>
      </c>
      <c r="AU1015" s="30" t="s">
        <v>12076</v>
      </c>
      <c r="AV1015" s="14" t="s">
        <v>207</v>
      </c>
      <c r="AW1015" s="74"/>
      <c r="AX1015" s="1"/>
      <c r="AY1015" s="17" t="s">
        <v>101</v>
      </c>
    </row>
    <row r="1016" spans="1:51" ht="15" customHeight="1" x14ac:dyDescent="0.25">
      <c r="A1016" s="5">
        <v>972</v>
      </c>
      <c r="B1016" s="9">
        <v>972</v>
      </c>
      <c r="C1016" s="9" t="s">
        <v>12077</v>
      </c>
      <c r="D1016" s="57" t="str">
        <f>HYPERLINK("http://prodenv.dep.state.fl.us/DepNexus/public/electronic-documents/OG_972/facility!search","OG_972_Docs")</f>
        <v>OG_972_Docs</v>
      </c>
      <c r="E1016" s="57" t="str">
        <f>HYPERLINK("https://ca.dep.state.fl.us/mapdirect/?focus=oilandgas&amp;zoom=query&amp;querytype=oilandgas&amp;queryvalues=OG_972","OG_972_Map")</f>
        <v>OG_972_Map</v>
      </c>
      <c r="F1016" s="1" t="s">
        <v>665</v>
      </c>
      <c r="G1016" s="1" t="s">
        <v>79</v>
      </c>
      <c r="H1016" s="1" t="s">
        <v>12078</v>
      </c>
      <c r="I1016" s="1" t="s">
        <v>12079</v>
      </c>
      <c r="J1016" s="17" t="s">
        <v>82</v>
      </c>
      <c r="K1016" s="17" t="s">
        <v>83</v>
      </c>
      <c r="L1016" s="17"/>
      <c r="M1016" s="17" t="s">
        <v>101</v>
      </c>
      <c r="N1016" s="52" t="s">
        <v>12080</v>
      </c>
      <c r="O1016" s="17" t="s">
        <v>86</v>
      </c>
      <c r="P1016" s="17" t="s">
        <v>86</v>
      </c>
      <c r="Q1016" s="81" t="s">
        <v>12081</v>
      </c>
      <c r="R1016" s="11">
        <v>26.743887000000001</v>
      </c>
      <c r="S1016" s="11">
        <v>-80.469408999999999</v>
      </c>
      <c r="T1016" s="11" t="s">
        <v>12082</v>
      </c>
      <c r="U1016" s="11" t="s">
        <v>12083</v>
      </c>
      <c r="V1016" s="17" t="s">
        <v>12084</v>
      </c>
      <c r="W1016" s="17" t="s">
        <v>110</v>
      </c>
      <c r="X1016" s="70">
        <v>28</v>
      </c>
      <c r="Y1016" s="70">
        <v>12</v>
      </c>
      <c r="Z1016" s="13">
        <v>28906</v>
      </c>
      <c r="AA1016" s="13">
        <v>28982</v>
      </c>
      <c r="AB1016" s="13">
        <v>29019</v>
      </c>
      <c r="AC1016" s="13">
        <v>29019</v>
      </c>
      <c r="AD1016" s="86">
        <v>11000</v>
      </c>
      <c r="AE1016" s="86">
        <v>11000</v>
      </c>
      <c r="AF1016" s="70" t="s">
        <v>12085</v>
      </c>
      <c r="AG1016" s="17" t="s">
        <v>12086</v>
      </c>
      <c r="AH1016" s="17" t="s">
        <v>8654</v>
      </c>
      <c r="AI1016" s="70" t="s">
        <v>94</v>
      </c>
      <c r="AJ1016" s="17" t="s">
        <v>94</v>
      </c>
      <c r="AK1016" s="17" t="s">
        <v>95</v>
      </c>
      <c r="AL1016" s="17" t="s">
        <v>94</v>
      </c>
      <c r="AM1016" s="17" t="s">
        <v>94</v>
      </c>
      <c r="AN1016" s="17" t="s">
        <v>94</v>
      </c>
      <c r="AO1016" s="17" t="s">
        <v>98</v>
      </c>
      <c r="AP1016" s="17" t="s">
        <v>98</v>
      </c>
      <c r="AQ1016" s="17" t="s">
        <v>98</v>
      </c>
      <c r="AR1016" s="17" t="s">
        <v>94</v>
      </c>
      <c r="AS1016" s="17" t="s">
        <v>12087</v>
      </c>
      <c r="AT1016" s="17">
        <v>200</v>
      </c>
      <c r="AU1016" s="30" t="s">
        <v>12088</v>
      </c>
      <c r="AV1016" s="14">
        <v>14296</v>
      </c>
      <c r="AW1016" s="74"/>
      <c r="AX1016" s="1"/>
      <c r="AY1016" s="17" t="s">
        <v>101</v>
      </c>
    </row>
    <row r="1017" spans="1:51" ht="12.75" customHeight="1" x14ac:dyDescent="0.25">
      <c r="A1017" s="5">
        <v>973</v>
      </c>
      <c r="B1017" s="9">
        <v>973</v>
      </c>
      <c r="C1017" s="9" t="s">
        <v>12089</v>
      </c>
      <c r="D1017" s="57" t="str">
        <f>HYPERLINK("http://prodenv.dep.state.fl.us/DepNexus/public/electronic-documents/OG_973/facility!search","OG_973_Docs")</f>
        <v>OG_973_Docs</v>
      </c>
      <c r="E1017" s="57" t="str">
        <f>HYPERLINK("https://ca.dep.state.fl.us/mapdirect/?focus=oilandgas&amp;zoom=query&amp;querytype=oilandgas&amp;queryvalues=OG_973","OG_973_Map")</f>
        <v>OG_973_Map</v>
      </c>
      <c r="F1017" s="1" t="s">
        <v>1797</v>
      </c>
      <c r="G1017" s="1" t="s">
        <v>5133</v>
      </c>
      <c r="H1017" s="1" t="s">
        <v>8261</v>
      </c>
      <c r="I1017" s="1" t="s">
        <v>12090</v>
      </c>
      <c r="J1017" s="17" t="s">
        <v>5135</v>
      </c>
      <c r="K1017" s="17" t="s">
        <v>83</v>
      </c>
      <c r="L1017" s="17"/>
      <c r="M1017" s="17"/>
      <c r="N1017" s="52" t="s">
        <v>86</v>
      </c>
      <c r="O1017" s="17" t="s">
        <v>86</v>
      </c>
      <c r="P1017" s="17" t="s">
        <v>86</v>
      </c>
      <c r="Q1017" s="81" t="s">
        <v>5861</v>
      </c>
      <c r="R1017" s="11">
        <v>30.970108</v>
      </c>
      <c r="S1017" s="11">
        <v>-87.153775999999993</v>
      </c>
      <c r="T1017" s="11" t="s">
        <v>12091</v>
      </c>
      <c r="U1017" s="11" t="s">
        <v>12092</v>
      </c>
      <c r="V1017" s="17" t="s">
        <v>12093</v>
      </c>
      <c r="W1017" s="17" t="s">
        <v>12094</v>
      </c>
      <c r="X1017" s="70">
        <v>244</v>
      </c>
      <c r="Y1017" s="70">
        <v>214</v>
      </c>
      <c r="Z1017" s="13">
        <v>28950</v>
      </c>
      <c r="AA1017" s="13">
        <v>28981</v>
      </c>
      <c r="AB1017" s="13"/>
      <c r="AC1017" s="13">
        <v>29036</v>
      </c>
      <c r="AD1017" s="86">
        <v>15801</v>
      </c>
      <c r="AE1017" s="70"/>
      <c r="AF1017" s="70" t="s">
        <v>10305</v>
      </c>
      <c r="AG1017" s="17" t="s">
        <v>12095</v>
      </c>
      <c r="AH1017" s="17"/>
      <c r="AI1017" s="70"/>
      <c r="AJ1017" s="17"/>
      <c r="AK1017" s="17"/>
      <c r="AL1017" s="17" t="s">
        <v>12096</v>
      </c>
      <c r="AM1017" s="17" t="s">
        <v>95</v>
      </c>
      <c r="AN1017" s="17"/>
      <c r="AO1017" s="17"/>
      <c r="AP1017" s="17"/>
      <c r="AQ1017" s="17"/>
      <c r="AR1017" s="17"/>
      <c r="AS1017" s="17" t="s">
        <v>12097</v>
      </c>
      <c r="AT1017" s="17"/>
      <c r="AU1017" s="30" t="s">
        <v>12098</v>
      </c>
      <c r="AV1017" s="14">
        <v>14297</v>
      </c>
      <c r="AW1017" s="74"/>
      <c r="AX1017" s="1"/>
      <c r="AY1017" s="17" t="s">
        <v>101</v>
      </c>
    </row>
    <row r="1018" spans="1:51" ht="12.75" customHeight="1" x14ac:dyDescent="0.25">
      <c r="A1018" s="5">
        <v>973.1</v>
      </c>
      <c r="B1018" s="9" t="s">
        <v>12099</v>
      </c>
      <c r="C1018" s="9" t="s">
        <v>12089</v>
      </c>
      <c r="D1018" s="57" t="str">
        <f>HYPERLINK("http://prodenv.dep.state.fl.us/DepNexus/public/electronic-documents/OG_973/facility!search","OG_973_Docs")</f>
        <v>OG_973_Docs</v>
      </c>
      <c r="E1018" s="57" t="str">
        <f>HYPERLINK("https://ca.dep.state.fl.us/mapdirect/?focus=oilandgas&amp;zoom=query&amp;querytype=oilandgas&amp;queryvalues=OG_973","OG_973_Map")</f>
        <v>OG_973_Map</v>
      </c>
      <c r="F1018" s="1" t="s">
        <v>1797</v>
      </c>
      <c r="G1018" s="1" t="s">
        <v>5133</v>
      </c>
      <c r="H1018" s="1" t="s">
        <v>1363</v>
      </c>
      <c r="I1018" s="1" t="s">
        <v>12100</v>
      </c>
      <c r="J1018" s="17" t="s">
        <v>5135</v>
      </c>
      <c r="K1018" s="17" t="s">
        <v>6671</v>
      </c>
      <c r="L1018" s="17"/>
      <c r="M1018" s="17"/>
      <c r="N1018" s="52" t="s">
        <v>6046</v>
      </c>
      <c r="O1018" s="17" t="s">
        <v>86</v>
      </c>
      <c r="P1018" s="17" t="s">
        <v>86</v>
      </c>
      <c r="Q1018" s="81" t="s">
        <v>5861</v>
      </c>
      <c r="R1018" s="11">
        <v>30.970108</v>
      </c>
      <c r="S1018" s="11">
        <v>-87.153775999999993</v>
      </c>
      <c r="T1018" s="11" t="s">
        <v>12091</v>
      </c>
      <c r="U1018" s="11" t="s">
        <v>12092</v>
      </c>
      <c r="V1018" s="17" t="s">
        <v>12093</v>
      </c>
      <c r="W1018" s="17" t="s">
        <v>12101</v>
      </c>
      <c r="X1018" s="70">
        <v>244</v>
      </c>
      <c r="Y1018" s="70">
        <v>214</v>
      </c>
      <c r="Z1018" s="13">
        <v>28950</v>
      </c>
      <c r="AA1018" s="13">
        <v>29073</v>
      </c>
      <c r="AB1018" s="13">
        <v>29124</v>
      </c>
      <c r="AC1018" s="13"/>
      <c r="AD1018" s="86">
        <v>15740</v>
      </c>
      <c r="AE1018" s="86">
        <v>15780</v>
      </c>
      <c r="AF1018" s="70" t="s">
        <v>10305</v>
      </c>
      <c r="AG1018" s="17" t="s">
        <v>12095</v>
      </c>
      <c r="AH1018" s="17"/>
      <c r="AI1018" s="70" t="s">
        <v>12102</v>
      </c>
      <c r="AJ1018" s="17" t="s">
        <v>12103</v>
      </c>
      <c r="AK1018" s="17"/>
      <c r="AL1018" s="17"/>
      <c r="AM1018" s="17"/>
      <c r="AN1018" s="17"/>
      <c r="AO1018" s="17"/>
      <c r="AP1018" s="17"/>
      <c r="AQ1018" s="17"/>
      <c r="AR1018" s="17" t="s">
        <v>12104</v>
      </c>
      <c r="AS1018" s="17"/>
      <c r="AT1018" s="17"/>
      <c r="AU1018" s="30" t="s">
        <v>12105</v>
      </c>
      <c r="AV1018" s="14">
        <v>14308</v>
      </c>
      <c r="AW1018" s="74">
        <v>311639</v>
      </c>
      <c r="AX1018" s="1" t="s">
        <v>12106</v>
      </c>
      <c r="AY1018" s="17" t="s">
        <v>101</v>
      </c>
    </row>
    <row r="1019" spans="1:51" ht="12.75" customHeight="1" x14ac:dyDescent="0.25">
      <c r="A1019" s="5">
        <v>974</v>
      </c>
      <c r="B1019" s="9">
        <v>974</v>
      </c>
      <c r="C1019" s="9" t="s">
        <v>12107</v>
      </c>
      <c r="D1019" s="57" t="str">
        <f>HYPERLINK("http://prodenv.dep.state.fl.us/DepNexus/public/electronic-documents/OG_974/facility!search","OG_974_Docs")</f>
        <v>OG_974_Docs</v>
      </c>
      <c r="E1019" s="57" t="str">
        <f>HYPERLINK("https://ca.dep.state.fl.us/mapdirect/?focus=oilandgas&amp;zoom=query&amp;querytype=oilandgas&amp;queryvalues=OG_974","OG_974_Map")</f>
        <v>OG_974_Map</v>
      </c>
      <c r="F1019" s="1" t="s">
        <v>265</v>
      </c>
      <c r="G1019" s="1" t="s">
        <v>79</v>
      </c>
      <c r="H1019" s="1" t="s">
        <v>12078</v>
      </c>
      <c r="I1019" s="1" t="s">
        <v>12108</v>
      </c>
      <c r="J1019" s="17" t="s">
        <v>82</v>
      </c>
      <c r="K1019" s="17" t="s">
        <v>83</v>
      </c>
      <c r="L1019" s="17"/>
      <c r="M1019" s="17"/>
      <c r="N1019" s="52" t="s">
        <v>5949</v>
      </c>
      <c r="O1019" s="17" t="s">
        <v>270</v>
      </c>
      <c r="P1019" s="17" t="s">
        <v>86</v>
      </c>
      <c r="Q1019" s="81" t="s">
        <v>12109</v>
      </c>
      <c r="R1019" s="11">
        <v>26.187187000000002</v>
      </c>
      <c r="S1019" s="11">
        <v>-81.349959999999996</v>
      </c>
      <c r="T1019" s="11" t="s">
        <v>12110</v>
      </c>
      <c r="U1019" s="11" t="s">
        <v>12111</v>
      </c>
      <c r="V1019" s="17" t="s">
        <v>12112</v>
      </c>
      <c r="W1019" s="17" t="s">
        <v>110</v>
      </c>
      <c r="X1019" s="70">
        <v>30.23</v>
      </c>
      <c r="Y1019" s="70">
        <v>15.35</v>
      </c>
      <c r="Z1019" s="13">
        <v>28950</v>
      </c>
      <c r="AA1019" s="13">
        <v>29030</v>
      </c>
      <c r="AB1019" s="13">
        <v>29068</v>
      </c>
      <c r="AC1019" s="13">
        <v>29068</v>
      </c>
      <c r="AD1019" s="86">
        <v>12014</v>
      </c>
      <c r="AE1019" s="86">
        <v>12014</v>
      </c>
      <c r="AF1019" s="70" t="s">
        <v>8545</v>
      </c>
      <c r="AG1019" s="17" t="s">
        <v>8977</v>
      </c>
      <c r="AH1019" s="17" t="s">
        <v>12113</v>
      </c>
      <c r="AI1019" s="70" t="s">
        <v>94</v>
      </c>
      <c r="AJ1019" s="17" t="s">
        <v>94</v>
      </c>
      <c r="AK1019" s="17" t="s">
        <v>94</v>
      </c>
      <c r="AL1019" s="17" t="s">
        <v>94</v>
      </c>
      <c r="AM1019" s="17" t="s">
        <v>94</v>
      </c>
      <c r="AN1019" s="17" t="s">
        <v>12114</v>
      </c>
      <c r="AO1019" s="17" t="s">
        <v>98</v>
      </c>
      <c r="AP1019" s="17" t="s">
        <v>98</v>
      </c>
      <c r="AQ1019" s="17" t="s">
        <v>98</v>
      </c>
      <c r="AR1019" s="17" t="s">
        <v>94</v>
      </c>
      <c r="AS1019" s="17" t="s">
        <v>12115</v>
      </c>
      <c r="AT1019" s="17">
        <v>190</v>
      </c>
      <c r="AU1019" s="30" t="s">
        <v>12116</v>
      </c>
      <c r="AV1019" s="14"/>
      <c r="AW1019" s="74"/>
      <c r="AX1019" s="1"/>
      <c r="AY1019" s="17" t="s">
        <v>101</v>
      </c>
    </row>
    <row r="1020" spans="1:51" ht="15" customHeight="1" x14ac:dyDescent="0.25">
      <c r="A1020" s="5">
        <v>975</v>
      </c>
      <c r="B1020" s="9">
        <v>975</v>
      </c>
      <c r="C1020" s="9" t="s">
        <v>12117</v>
      </c>
      <c r="D1020" s="57" t="str">
        <f>HYPERLINK("http://prodenv.dep.state.fl.us/DepNexus/public/electronic-documents/OG_975/facility!search","OG_975_Docs")</f>
        <v>OG_975_Docs</v>
      </c>
      <c r="E1020" s="57" t="str">
        <f>HYPERLINK("https://ca.dep.state.fl.us/mapdirect/?focus=oilandgas&amp;zoom=query&amp;querytype=oilandgas&amp;queryvalues=OG_975","OG_975_Map")</f>
        <v>OG_975_Map</v>
      </c>
      <c r="F1020" s="1" t="s">
        <v>265</v>
      </c>
      <c r="G1020" s="1" t="s">
        <v>79</v>
      </c>
      <c r="H1020" s="1" t="s">
        <v>12078</v>
      </c>
      <c r="I1020" s="1" t="s">
        <v>12118</v>
      </c>
      <c r="J1020" s="17" t="s">
        <v>207</v>
      </c>
      <c r="K1020" s="17" t="s">
        <v>208</v>
      </c>
      <c r="L1020" s="17"/>
      <c r="M1020" s="17" t="s">
        <v>207</v>
      </c>
      <c r="N1020" s="52" t="s">
        <v>207</v>
      </c>
      <c r="O1020" s="17" t="s">
        <v>270</v>
      </c>
      <c r="P1020" s="17" t="s">
        <v>86</v>
      </c>
      <c r="Q1020" s="81" t="s">
        <v>12119</v>
      </c>
      <c r="R1020" s="11">
        <v>26.224527999999999</v>
      </c>
      <c r="S1020" s="11">
        <v>-81.439620000000005</v>
      </c>
      <c r="T1020" s="11" t="s">
        <v>12120</v>
      </c>
      <c r="U1020" s="11" t="s">
        <v>12121</v>
      </c>
      <c r="V1020" s="17" t="s">
        <v>12122</v>
      </c>
      <c r="W1020" s="17"/>
      <c r="X1020" s="70"/>
      <c r="Y1020" s="70"/>
      <c r="Z1020" s="13">
        <v>28950</v>
      </c>
      <c r="AA1020" s="13"/>
      <c r="AB1020" s="13"/>
      <c r="AC1020" s="13"/>
      <c r="AD1020" s="86"/>
      <c r="AE1020" s="70"/>
      <c r="AF1020" s="70" t="s">
        <v>207</v>
      </c>
      <c r="AG1020" s="14" t="s">
        <v>207</v>
      </c>
      <c r="AH1020" s="14" t="s">
        <v>207</v>
      </c>
      <c r="AI1020" s="70" t="s">
        <v>207</v>
      </c>
      <c r="AJ1020" s="14" t="s">
        <v>207</v>
      </c>
      <c r="AK1020" s="14" t="s">
        <v>207</v>
      </c>
      <c r="AL1020" s="14" t="s">
        <v>207</v>
      </c>
      <c r="AM1020" s="14" t="s">
        <v>207</v>
      </c>
      <c r="AN1020" s="14" t="s">
        <v>207</v>
      </c>
      <c r="AO1020" s="14" t="s">
        <v>207</v>
      </c>
      <c r="AP1020" s="14" t="s">
        <v>207</v>
      </c>
      <c r="AQ1020" s="14" t="s">
        <v>207</v>
      </c>
      <c r="AR1020" s="14" t="s">
        <v>207</v>
      </c>
      <c r="AS1020" s="14" t="s">
        <v>207</v>
      </c>
      <c r="AT1020" s="14" t="s">
        <v>207</v>
      </c>
      <c r="AU1020" s="30" t="s">
        <v>12123</v>
      </c>
      <c r="AV1020" s="14" t="s">
        <v>207</v>
      </c>
      <c r="AW1020" s="74"/>
      <c r="AX1020" s="1"/>
      <c r="AY1020" s="17" t="s">
        <v>101</v>
      </c>
    </row>
    <row r="1021" spans="1:51" ht="12.75" customHeight="1" x14ac:dyDescent="0.25">
      <c r="A1021" s="5">
        <v>976</v>
      </c>
      <c r="B1021" s="9">
        <v>976</v>
      </c>
      <c r="C1021" s="9" t="s">
        <v>12124</v>
      </c>
      <c r="D1021" s="57" t="str">
        <f>HYPERLINK("http://prodenv.dep.state.fl.us/DepNexus/public/electronic-documents/OG_976/facility!search","OG_976_Docs")</f>
        <v>OG_976_Docs</v>
      </c>
      <c r="E1021" s="57" t="str">
        <f>HYPERLINK("https://ca.dep.state.fl.us/mapdirect/?focus=oilandgas&amp;zoom=query&amp;querytype=oilandgas&amp;queryvalues=OG_976","OG_976_Map")</f>
        <v>OG_976_Map</v>
      </c>
      <c r="F1021" s="1" t="s">
        <v>265</v>
      </c>
      <c r="G1021" s="1" t="s">
        <v>79</v>
      </c>
      <c r="H1021" s="1" t="s">
        <v>12078</v>
      </c>
      <c r="I1021" s="1" t="s">
        <v>12125</v>
      </c>
      <c r="J1021" s="17" t="s">
        <v>207</v>
      </c>
      <c r="K1021" s="17" t="s">
        <v>208</v>
      </c>
      <c r="L1021" s="17"/>
      <c r="M1021" s="17" t="s">
        <v>207</v>
      </c>
      <c r="N1021" s="52" t="s">
        <v>207</v>
      </c>
      <c r="O1021" s="17" t="s">
        <v>270</v>
      </c>
      <c r="P1021" s="17" t="s">
        <v>86</v>
      </c>
      <c r="Q1021" s="81" t="s">
        <v>12126</v>
      </c>
      <c r="R1021" s="11">
        <v>26.236068</v>
      </c>
      <c r="S1021" s="11">
        <v>-81.442499999999995</v>
      </c>
      <c r="T1021" s="11" t="s">
        <v>12127</v>
      </c>
      <c r="U1021" s="11" t="s">
        <v>12128</v>
      </c>
      <c r="V1021" s="17" t="s">
        <v>12129</v>
      </c>
      <c r="W1021" s="17"/>
      <c r="X1021" s="70"/>
      <c r="Y1021" s="70"/>
      <c r="Z1021" s="13">
        <v>28962</v>
      </c>
      <c r="AA1021" s="13"/>
      <c r="AB1021" s="13"/>
      <c r="AC1021" s="13"/>
      <c r="AD1021" s="86"/>
      <c r="AE1021" s="70"/>
      <c r="AF1021" s="70" t="s">
        <v>207</v>
      </c>
      <c r="AG1021" s="14" t="s">
        <v>207</v>
      </c>
      <c r="AH1021" s="14" t="s">
        <v>207</v>
      </c>
      <c r="AI1021" s="70" t="s">
        <v>207</v>
      </c>
      <c r="AJ1021" s="14" t="s">
        <v>207</v>
      </c>
      <c r="AK1021" s="14" t="s">
        <v>207</v>
      </c>
      <c r="AL1021" s="14" t="s">
        <v>207</v>
      </c>
      <c r="AM1021" s="14" t="s">
        <v>207</v>
      </c>
      <c r="AN1021" s="14" t="s">
        <v>207</v>
      </c>
      <c r="AO1021" s="14" t="s">
        <v>207</v>
      </c>
      <c r="AP1021" s="14" t="s">
        <v>207</v>
      </c>
      <c r="AQ1021" s="14" t="s">
        <v>207</v>
      </c>
      <c r="AR1021" s="14" t="s">
        <v>207</v>
      </c>
      <c r="AS1021" s="14" t="s">
        <v>207</v>
      </c>
      <c r="AT1021" s="14" t="s">
        <v>207</v>
      </c>
      <c r="AU1021" s="30" t="s">
        <v>12130</v>
      </c>
      <c r="AV1021" s="14" t="s">
        <v>207</v>
      </c>
      <c r="AW1021" s="74"/>
      <c r="AX1021" s="1"/>
      <c r="AY1021" s="17" t="s">
        <v>101</v>
      </c>
    </row>
    <row r="1022" spans="1:51" ht="12.75" customHeight="1" x14ac:dyDescent="0.25">
      <c r="A1022" s="5">
        <v>977</v>
      </c>
      <c r="B1022" s="9">
        <v>977</v>
      </c>
      <c r="C1022" s="9" t="s">
        <v>12131</v>
      </c>
      <c r="D1022" s="57" t="str">
        <f>HYPERLINK("http://prodenv.dep.state.fl.us/DepNexus/public/electronic-documents/OG_977/facility!search","OG_977_Docs")</f>
        <v>OG_977_Docs</v>
      </c>
      <c r="E1022" s="57" t="str">
        <f>HYPERLINK("https://ca.dep.state.fl.us/mapdirect/?focus=oilandgas&amp;zoom=query&amp;querytype=oilandgas&amp;queryvalues=OG_977","OG_977_Map")</f>
        <v>OG_977_Map</v>
      </c>
      <c r="F1022" s="1" t="s">
        <v>1682</v>
      </c>
      <c r="G1022" s="1" t="s">
        <v>5133</v>
      </c>
      <c r="H1022" s="1" t="s">
        <v>1363</v>
      </c>
      <c r="I1022" s="1" t="s">
        <v>12132</v>
      </c>
      <c r="J1022" s="17" t="s">
        <v>3646</v>
      </c>
      <c r="K1022" s="17" t="s">
        <v>412</v>
      </c>
      <c r="L1022" s="17"/>
      <c r="M1022" s="17"/>
      <c r="N1022" s="52" t="s">
        <v>6046</v>
      </c>
      <c r="O1022" s="17" t="s">
        <v>86</v>
      </c>
      <c r="P1022" s="17" t="s">
        <v>86</v>
      </c>
      <c r="Q1022" s="81" t="s">
        <v>12133</v>
      </c>
      <c r="R1022" s="11">
        <v>30.991783999999999</v>
      </c>
      <c r="S1022" s="11">
        <v>-87.185051000000001</v>
      </c>
      <c r="T1022" s="11" t="s">
        <v>12134</v>
      </c>
      <c r="U1022" s="11" t="s">
        <v>12135</v>
      </c>
      <c r="V1022" s="17" t="s">
        <v>12136</v>
      </c>
      <c r="W1022" s="17" t="s">
        <v>12137</v>
      </c>
      <c r="X1022" s="70">
        <v>84.6</v>
      </c>
      <c r="Y1022" s="70">
        <v>54.6</v>
      </c>
      <c r="Z1022" s="13">
        <v>28962</v>
      </c>
      <c r="AA1022" s="13">
        <v>29072</v>
      </c>
      <c r="AB1022" s="13">
        <v>29432</v>
      </c>
      <c r="AC1022" s="13"/>
      <c r="AD1022" s="86">
        <v>15482</v>
      </c>
      <c r="AE1022" s="86">
        <v>15637</v>
      </c>
      <c r="AF1022" s="70" t="s">
        <v>12138</v>
      </c>
      <c r="AG1022" s="17" t="s">
        <v>12139</v>
      </c>
      <c r="AH1022" s="17" t="s">
        <v>94</v>
      </c>
      <c r="AI1022" s="70" t="s">
        <v>12140</v>
      </c>
      <c r="AJ1022" s="17" t="s">
        <v>12141</v>
      </c>
      <c r="AK1022" s="17" t="s">
        <v>94</v>
      </c>
      <c r="AL1022" s="17" t="s">
        <v>12142</v>
      </c>
      <c r="AM1022" s="17" t="s">
        <v>95</v>
      </c>
      <c r="AN1022" s="17" t="s">
        <v>86</v>
      </c>
      <c r="AO1022" s="17" t="s">
        <v>12143</v>
      </c>
      <c r="AP1022" s="17" t="s">
        <v>12144</v>
      </c>
      <c r="AQ1022" s="17" t="s">
        <v>12145</v>
      </c>
      <c r="AR1022" s="17" t="s">
        <v>12146</v>
      </c>
      <c r="AS1022" s="17"/>
      <c r="AT1022" s="17"/>
      <c r="AU1022" s="30" t="s">
        <v>12147</v>
      </c>
      <c r="AV1022" s="14">
        <v>14364</v>
      </c>
      <c r="AW1022" s="74">
        <v>309833</v>
      </c>
      <c r="AX1022" s="1"/>
      <c r="AY1022" s="17" t="s">
        <v>101</v>
      </c>
    </row>
    <row r="1023" spans="1:51" ht="12.75" customHeight="1" x14ac:dyDescent="0.25">
      <c r="A1023" s="5">
        <v>978</v>
      </c>
      <c r="B1023" s="9">
        <v>978</v>
      </c>
      <c r="C1023" s="9" t="s">
        <v>12148</v>
      </c>
      <c r="D1023" s="57" t="str">
        <f>HYPERLINK("http://prodenv.dep.state.fl.us/DepNexus/public/electronic-documents/OG_978/facility!search","OG_978_Docs")</f>
        <v>OG_978_Docs</v>
      </c>
      <c r="E1023" s="57" t="str">
        <f>HYPERLINK("https://ca.dep.state.fl.us/mapdirect/?focus=oilandgas&amp;zoom=query&amp;querytype=oilandgas&amp;queryvalues=OG_978","OG_978_Map")</f>
        <v>OG_978_Map</v>
      </c>
      <c r="F1023" s="1" t="s">
        <v>1752</v>
      </c>
      <c r="G1023" s="1" t="s">
        <v>79</v>
      </c>
      <c r="H1023" s="1" t="s">
        <v>12149</v>
      </c>
      <c r="I1023" s="1" t="s">
        <v>11873</v>
      </c>
      <c r="J1023" s="17" t="s">
        <v>82</v>
      </c>
      <c r="K1023" s="17" t="s">
        <v>83</v>
      </c>
      <c r="L1023" s="17"/>
      <c r="M1023" s="17"/>
      <c r="N1023" s="52" t="s">
        <v>4802</v>
      </c>
      <c r="O1023" s="17" t="s">
        <v>270</v>
      </c>
      <c r="P1023" s="17" t="s">
        <v>86</v>
      </c>
      <c r="Q1023" s="81" t="s">
        <v>11874</v>
      </c>
      <c r="R1023" s="11">
        <v>26.428207</v>
      </c>
      <c r="S1023" s="11">
        <v>-81.023112999999995</v>
      </c>
      <c r="T1023" s="11" t="s">
        <v>11875</v>
      </c>
      <c r="U1023" s="11" t="s">
        <v>11876</v>
      </c>
      <c r="V1023" s="17" t="s">
        <v>11877</v>
      </c>
      <c r="W1023" s="17"/>
      <c r="X1023" s="70">
        <v>41.35</v>
      </c>
      <c r="Y1023" s="70">
        <v>25.01</v>
      </c>
      <c r="Z1023" s="13">
        <v>28978</v>
      </c>
      <c r="AA1023" s="13">
        <v>29078</v>
      </c>
      <c r="AB1023" s="13"/>
      <c r="AC1023" s="13">
        <v>29109</v>
      </c>
      <c r="AD1023" s="86">
        <v>11464</v>
      </c>
      <c r="AE1023" s="86">
        <v>11464</v>
      </c>
      <c r="AF1023" s="70" t="s">
        <v>12150</v>
      </c>
      <c r="AG1023" s="17" t="s">
        <v>9563</v>
      </c>
      <c r="AH1023" s="17" t="s">
        <v>12151</v>
      </c>
      <c r="AI1023" s="70" t="s">
        <v>94</v>
      </c>
      <c r="AJ1023" s="17" t="s">
        <v>94</v>
      </c>
      <c r="AK1023" s="17" t="s">
        <v>95</v>
      </c>
      <c r="AL1023" s="17" t="s">
        <v>94</v>
      </c>
      <c r="AM1023" s="17" t="s">
        <v>94</v>
      </c>
      <c r="AN1023" s="17" t="s">
        <v>94</v>
      </c>
      <c r="AO1023" s="17" t="s">
        <v>98</v>
      </c>
      <c r="AP1023" s="17" t="s">
        <v>98</v>
      </c>
      <c r="AQ1023" s="17" t="s">
        <v>98</v>
      </c>
      <c r="AR1023" s="17" t="s">
        <v>94</v>
      </c>
      <c r="AS1023" s="17" t="s">
        <v>12152</v>
      </c>
      <c r="AT1023" s="17"/>
      <c r="AU1023" s="30" t="s">
        <v>12153</v>
      </c>
      <c r="AV1023" s="14">
        <v>14349</v>
      </c>
      <c r="AW1023" s="74"/>
      <c r="AX1023" s="1"/>
      <c r="AY1023" s="17" t="s">
        <v>101</v>
      </c>
    </row>
    <row r="1024" spans="1:51" ht="15" customHeight="1" x14ac:dyDescent="0.25">
      <c r="A1024" s="5">
        <v>979</v>
      </c>
      <c r="B1024" s="9">
        <v>979</v>
      </c>
      <c r="C1024" s="9" t="s">
        <v>12154</v>
      </c>
      <c r="D1024" s="57" t="str">
        <f>HYPERLINK("http://prodenv.dep.state.fl.us/DepNexus/public/electronic-documents/OG_979/facility!search","OG_979_Docs")</f>
        <v>OG_979_Docs</v>
      </c>
      <c r="E1024" s="57" t="str">
        <f>HYPERLINK("https://ca.dep.state.fl.us/mapdirect/?focus=oilandgas&amp;zoom=query&amp;querytype=oilandgas&amp;queryvalues=OG_979","OG_979_Map")</f>
        <v>OG_979_Map</v>
      </c>
      <c r="F1024" s="1" t="s">
        <v>2026</v>
      </c>
      <c r="G1024" s="1" t="s">
        <v>79</v>
      </c>
      <c r="H1024" s="1" t="s">
        <v>12149</v>
      </c>
      <c r="I1024" s="1" t="s">
        <v>12155</v>
      </c>
      <c r="J1024" s="17" t="s">
        <v>82</v>
      </c>
      <c r="K1024" s="17" t="s">
        <v>83</v>
      </c>
      <c r="L1024" s="17"/>
      <c r="M1024" s="17" t="s">
        <v>101</v>
      </c>
      <c r="N1024" s="52" t="s">
        <v>6529</v>
      </c>
      <c r="O1024" s="17" t="s">
        <v>86</v>
      </c>
      <c r="P1024" s="17" t="s">
        <v>86</v>
      </c>
      <c r="Q1024" s="81" t="s">
        <v>12156</v>
      </c>
      <c r="R1024" s="11">
        <v>26.522227999999998</v>
      </c>
      <c r="S1024" s="11">
        <v>-81.696460000000002</v>
      </c>
      <c r="T1024" s="11" t="s">
        <v>12157</v>
      </c>
      <c r="U1024" s="11" t="s">
        <v>12158</v>
      </c>
      <c r="V1024" s="17" t="s">
        <v>12159</v>
      </c>
      <c r="W1024" s="17"/>
      <c r="X1024" s="70">
        <v>42.65</v>
      </c>
      <c r="Y1024" s="70">
        <v>27.9</v>
      </c>
      <c r="Z1024" s="13">
        <v>28990</v>
      </c>
      <c r="AA1024" s="13">
        <v>29076</v>
      </c>
      <c r="AB1024" s="13"/>
      <c r="AC1024" s="13">
        <v>29482</v>
      </c>
      <c r="AD1024" s="86">
        <v>11807</v>
      </c>
      <c r="AE1024" s="86">
        <v>11807</v>
      </c>
      <c r="AF1024" s="70" t="s">
        <v>5162</v>
      </c>
      <c r="AG1024" s="17" t="s">
        <v>9162</v>
      </c>
      <c r="AH1024" s="17" t="s">
        <v>12160</v>
      </c>
      <c r="AI1024" s="70" t="s">
        <v>94</v>
      </c>
      <c r="AJ1024" s="17" t="s">
        <v>94</v>
      </c>
      <c r="AK1024" s="17" t="s">
        <v>95</v>
      </c>
      <c r="AL1024" s="17" t="s">
        <v>12161</v>
      </c>
      <c r="AM1024" s="17" t="s">
        <v>94</v>
      </c>
      <c r="AN1024" s="17" t="s">
        <v>94</v>
      </c>
      <c r="AO1024" s="17" t="s">
        <v>98</v>
      </c>
      <c r="AP1024" s="17" t="s">
        <v>98</v>
      </c>
      <c r="AQ1024" s="17" t="s">
        <v>98</v>
      </c>
      <c r="AR1024" s="17" t="s">
        <v>94</v>
      </c>
      <c r="AS1024" s="17" t="s">
        <v>12162</v>
      </c>
      <c r="AT1024" s="17">
        <v>186</v>
      </c>
      <c r="AU1024" s="30" t="s">
        <v>12163</v>
      </c>
      <c r="AV1024" s="14">
        <v>14348</v>
      </c>
      <c r="AW1024" s="74"/>
      <c r="AX1024" s="1"/>
      <c r="AY1024" s="17" t="s">
        <v>101</v>
      </c>
    </row>
    <row r="1025" spans="1:51" ht="12.75" customHeight="1" x14ac:dyDescent="0.25">
      <c r="A1025" s="5">
        <v>980</v>
      </c>
      <c r="B1025" s="9">
        <v>980</v>
      </c>
      <c r="C1025" s="9" t="s">
        <v>12164</v>
      </c>
      <c r="D1025" s="57" t="str">
        <f>HYPERLINK("http://prodenv.dep.state.fl.us/DepNexus/public/electronic-documents/OG_980/facility!search","OG_980_Docs")</f>
        <v>OG_980_Docs</v>
      </c>
      <c r="E1025" s="57" t="str">
        <f>HYPERLINK("https://ca.dep.state.fl.us/mapdirect/?focus=oilandgas&amp;zoom=query&amp;querytype=oilandgas&amp;queryvalues=OG_980","OG_980_Map")</f>
        <v>OG_980_Map</v>
      </c>
      <c r="F1025" s="1" t="s">
        <v>1797</v>
      </c>
      <c r="G1025" s="1" t="s">
        <v>79</v>
      </c>
      <c r="H1025" s="1" t="s">
        <v>8378</v>
      </c>
      <c r="I1025" s="1" t="s">
        <v>12165</v>
      </c>
      <c r="J1025" s="17" t="s">
        <v>82</v>
      </c>
      <c r="K1025" s="17" t="s">
        <v>83</v>
      </c>
      <c r="L1025" s="17"/>
      <c r="M1025" s="17" t="s">
        <v>84</v>
      </c>
      <c r="N1025" s="52" t="s">
        <v>6529</v>
      </c>
      <c r="O1025" s="17" t="s">
        <v>86</v>
      </c>
      <c r="P1025" s="17" t="s">
        <v>86</v>
      </c>
      <c r="Q1025" s="81" t="s">
        <v>12166</v>
      </c>
      <c r="R1025" s="11">
        <v>30.668883000000001</v>
      </c>
      <c r="S1025" s="11">
        <v>-86.924440000000004</v>
      </c>
      <c r="T1025" s="11" t="s">
        <v>12167</v>
      </c>
      <c r="U1025" s="11" t="s">
        <v>12168</v>
      </c>
      <c r="V1025" s="17" t="s">
        <v>5953</v>
      </c>
      <c r="W1025" s="17"/>
      <c r="X1025" s="70">
        <v>26</v>
      </c>
      <c r="Y1025" s="70">
        <v>161</v>
      </c>
      <c r="Z1025" s="13">
        <v>29018</v>
      </c>
      <c r="AA1025" s="13">
        <v>29059</v>
      </c>
      <c r="AB1025" s="13"/>
      <c r="AC1025" s="13">
        <v>29109</v>
      </c>
      <c r="AD1025" s="86">
        <v>16750</v>
      </c>
      <c r="AE1025" s="86">
        <v>16750</v>
      </c>
      <c r="AF1025" s="70" t="s">
        <v>12169</v>
      </c>
      <c r="AG1025" s="17" t="s">
        <v>12170</v>
      </c>
      <c r="AH1025" s="17" t="s">
        <v>94</v>
      </c>
      <c r="AI1025" s="70" t="s">
        <v>86</v>
      </c>
      <c r="AJ1025" s="17" t="s">
        <v>94</v>
      </c>
      <c r="AK1025" s="17" t="s">
        <v>95</v>
      </c>
      <c r="AL1025" s="17" t="s">
        <v>12171</v>
      </c>
      <c r="AM1025" s="17" t="s">
        <v>95</v>
      </c>
      <c r="AN1025" s="17" t="s">
        <v>86</v>
      </c>
      <c r="AO1025" s="17" t="s">
        <v>94</v>
      </c>
      <c r="AP1025" s="17" t="s">
        <v>94</v>
      </c>
      <c r="AQ1025" s="17" t="s">
        <v>94</v>
      </c>
      <c r="AR1025" s="17" t="s">
        <v>94</v>
      </c>
      <c r="AS1025" s="17" t="s">
        <v>12172</v>
      </c>
      <c r="AT1025" s="17">
        <v>266</v>
      </c>
      <c r="AU1025" s="30" t="s">
        <v>12173</v>
      </c>
      <c r="AV1025" s="14">
        <v>14362</v>
      </c>
      <c r="AW1025" s="74"/>
      <c r="AX1025" s="1"/>
      <c r="AY1025" s="17" t="s">
        <v>101</v>
      </c>
    </row>
    <row r="1026" spans="1:51" ht="12.75" customHeight="1" x14ac:dyDescent="0.25">
      <c r="A1026" s="5">
        <v>981</v>
      </c>
      <c r="B1026" s="9">
        <v>981</v>
      </c>
      <c r="C1026" s="9" t="s">
        <v>12174</v>
      </c>
      <c r="D1026" s="57" t="str">
        <f>HYPERLINK("http://prodenv.dep.state.fl.us/DepNexus/public/electronic-documents/OG_981/facility!search","OG_981_Docs")</f>
        <v>OG_981_Docs</v>
      </c>
      <c r="E1026" s="57" t="str">
        <f>HYPERLINK("https://ca.dep.state.fl.us/mapdirect/?focus=oilandgas&amp;zoom=query&amp;querytype=oilandgas&amp;queryvalues=OG_981","OG_981_Map")</f>
        <v>OG_981_Map</v>
      </c>
      <c r="F1026" s="1" t="s">
        <v>265</v>
      </c>
      <c r="G1026" s="1" t="s">
        <v>7239</v>
      </c>
      <c r="H1026" s="1" t="s">
        <v>8318</v>
      </c>
      <c r="I1026" s="1" t="s">
        <v>12175</v>
      </c>
      <c r="J1026" s="17" t="s">
        <v>268</v>
      </c>
      <c r="K1026" s="17" t="s">
        <v>412</v>
      </c>
      <c r="L1026" s="17"/>
      <c r="M1026" s="17"/>
      <c r="N1026" s="52" t="s">
        <v>4735</v>
      </c>
      <c r="O1026" s="17" t="s">
        <v>270</v>
      </c>
      <c r="P1026" s="17" t="s">
        <v>86</v>
      </c>
      <c r="Q1026" s="81" t="s">
        <v>10437</v>
      </c>
      <c r="R1026" s="11">
        <v>26.258655999999998</v>
      </c>
      <c r="S1026" s="11">
        <v>-81.303640000000001</v>
      </c>
      <c r="T1026" s="11" t="s">
        <v>12176</v>
      </c>
      <c r="U1026" s="11" t="s">
        <v>12177</v>
      </c>
      <c r="V1026" s="17" t="s">
        <v>12178</v>
      </c>
      <c r="W1026" s="17" t="s">
        <v>12179</v>
      </c>
      <c r="X1026" s="70">
        <v>41.7</v>
      </c>
      <c r="Y1026" s="70">
        <v>18.100000000000001</v>
      </c>
      <c r="Z1026" s="13">
        <v>29032</v>
      </c>
      <c r="AA1026" s="13">
        <v>29061</v>
      </c>
      <c r="AB1026" s="13"/>
      <c r="AC1026" s="13">
        <v>36854</v>
      </c>
      <c r="AD1026" s="86">
        <v>11599</v>
      </c>
      <c r="AE1026" s="86">
        <v>11734</v>
      </c>
      <c r="AF1026" s="70" t="s">
        <v>12180</v>
      </c>
      <c r="AG1026" s="17" t="s">
        <v>9162</v>
      </c>
      <c r="AH1026" s="17" t="s">
        <v>12181</v>
      </c>
      <c r="AI1026" s="70" t="s">
        <v>12182</v>
      </c>
      <c r="AJ1026" s="17"/>
      <c r="AK1026" s="17" t="s">
        <v>94</v>
      </c>
      <c r="AL1026" s="17" t="s">
        <v>12183</v>
      </c>
      <c r="AM1026" s="17"/>
      <c r="AN1026" s="17"/>
      <c r="AO1026" s="17" t="s">
        <v>12184</v>
      </c>
      <c r="AP1026" s="17" t="s">
        <v>94</v>
      </c>
      <c r="AQ1026" s="17" t="s">
        <v>12185</v>
      </c>
      <c r="AR1026" s="17" t="s">
        <v>12186</v>
      </c>
      <c r="AS1026" s="17" t="s">
        <v>12187</v>
      </c>
      <c r="AT1026" s="17"/>
      <c r="AU1026" s="30" t="s">
        <v>12188</v>
      </c>
      <c r="AV1026" s="14">
        <v>14347</v>
      </c>
      <c r="AW1026" s="74"/>
      <c r="AX1026" s="1"/>
      <c r="AY1026" s="17" t="s">
        <v>101</v>
      </c>
    </row>
    <row r="1027" spans="1:51" ht="12.75" customHeight="1" x14ac:dyDescent="0.25">
      <c r="A1027" s="5">
        <v>981.1</v>
      </c>
      <c r="B1027" s="9" t="s">
        <v>12189</v>
      </c>
      <c r="C1027" s="9" t="s">
        <v>12174</v>
      </c>
      <c r="D1027" s="57" t="str">
        <f>HYPERLINK("http://prodenv.dep.state.fl.us/DepNexus/public/electronic-documents/OG_981/facility!search","OG_981_Docs")</f>
        <v>OG_981_Docs</v>
      </c>
      <c r="E1027" s="57" t="str">
        <f>HYPERLINK("https://ca.dep.state.fl.us/mapdirect/?focus=oilandgas&amp;zoom=query&amp;querytype=oilandgas&amp;queryvalues=OG_981","OG_981_Map")</f>
        <v>OG_981_Map</v>
      </c>
      <c r="F1027" s="1" t="s">
        <v>265</v>
      </c>
      <c r="G1027" s="1" t="s">
        <v>7239</v>
      </c>
      <c r="H1027" s="1" t="s">
        <v>8318</v>
      </c>
      <c r="I1027" s="1" t="s">
        <v>12190</v>
      </c>
      <c r="J1027" s="17" t="s">
        <v>4294</v>
      </c>
      <c r="K1027" s="17" t="s">
        <v>4294</v>
      </c>
      <c r="L1027" s="17"/>
      <c r="M1027" s="17"/>
      <c r="N1027" s="52" t="s">
        <v>12191</v>
      </c>
      <c r="O1027" s="17" t="s">
        <v>270</v>
      </c>
      <c r="P1027" s="17" t="s">
        <v>86</v>
      </c>
      <c r="Q1027" s="81" t="s">
        <v>10437</v>
      </c>
      <c r="R1027" s="11">
        <v>26.258655999999998</v>
      </c>
      <c r="S1027" s="11">
        <v>-81.303640000000001</v>
      </c>
      <c r="T1027" s="11" t="s">
        <v>12176</v>
      </c>
      <c r="U1027" s="11" t="s">
        <v>12177</v>
      </c>
      <c r="V1027" s="36" t="s">
        <v>12178</v>
      </c>
      <c r="W1027" s="17" t="s">
        <v>12192</v>
      </c>
      <c r="X1027" s="70"/>
      <c r="Y1027" s="70"/>
      <c r="Z1027" s="13">
        <v>36378</v>
      </c>
      <c r="AA1027" s="13">
        <v>36857</v>
      </c>
      <c r="AB1027" s="13"/>
      <c r="AC1027" s="13">
        <v>36862</v>
      </c>
      <c r="AD1027" s="86">
        <v>11355</v>
      </c>
      <c r="AE1027" s="70">
        <v>14837</v>
      </c>
      <c r="AF1027" s="70" t="s">
        <v>12180</v>
      </c>
      <c r="AG1027" s="17" t="s">
        <v>9162</v>
      </c>
      <c r="AH1027" s="17" t="s">
        <v>12181</v>
      </c>
      <c r="AI1027" s="70" t="s">
        <v>94</v>
      </c>
      <c r="AJ1027" s="17" t="s">
        <v>94</v>
      </c>
      <c r="AK1027" s="17" t="s">
        <v>95</v>
      </c>
      <c r="AL1027" s="17" t="s">
        <v>12193</v>
      </c>
      <c r="AM1027" s="17"/>
      <c r="AN1027" s="17" t="s">
        <v>94</v>
      </c>
      <c r="AO1027" s="17" t="s">
        <v>94</v>
      </c>
      <c r="AP1027" s="17" t="s">
        <v>94</v>
      </c>
      <c r="AQ1027" s="17" t="s">
        <v>94</v>
      </c>
      <c r="AR1027" s="17" t="s">
        <v>94</v>
      </c>
      <c r="AS1027" s="17" t="s">
        <v>12194</v>
      </c>
      <c r="AT1027" s="17"/>
      <c r="AU1027" s="30" t="s">
        <v>12195</v>
      </c>
      <c r="AV1027" s="14">
        <v>19223</v>
      </c>
      <c r="AW1027" s="74"/>
      <c r="AX1027" s="1"/>
      <c r="AY1027" s="17" t="s">
        <v>101</v>
      </c>
    </row>
    <row r="1028" spans="1:51" ht="15" customHeight="1" x14ac:dyDescent="0.25">
      <c r="A1028" s="5">
        <v>981.2</v>
      </c>
      <c r="B1028" s="9" t="s">
        <v>12196</v>
      </c>
      <c r="C1028" s="9" t="s">
        <v>12174</v>
      </c>
      <c r="D1028" s="57" t="str">
        <f>HYPERLINK("http://prodenv.dep.state.fl.us/DepNexus/public/electronic-documents/OG_981/facility!search","OG_981_Docs")</f>
        <v>OG_981_Docs</v>
      </c>
      <c r="E1028" s="57" t="str">
        <f>HYPERLINK("https://ca.dep.state.fl.us/mapdirect/?focus=oilandgas&amp;zoom=query&amp;querytype=oilandgas&amp;queryvalues=OG_981","OG_981_Map")</f>
        <v>OG_981_Map</v>
      </c>
      <c r="F1028" s="1" t="s">
        <v>265</v>
      </c>
      <c r="G1028" s="1" t="s">
        <v>7239</v>
      </c>
      <c r="H1028" s="1" t="s">
        <v>1363</v>
      </c>
      <c r="I1028" s="1" t="s">
        <v>12197</v>
      </c>
      <c r="J1028" s="17" t="s">
        <v>3646</v>
      </c>
      <c r="K1028" s="17" t="s">
        <v>412</v>
      </c>
      <c r="L1028" s="17"/>
      <c r="M1028" s="17"/>
      <c r="N1028" s="52"/>
      <c r="O1028" s="17" t="s">
        <v>270</v>
      </c>
      <c r="P1028" s="17" t="s">
        <v>86</v>
      </c>
      <c r="Q1028" s="81" t="s">
        <v>10437</v>
      </c>
      <c r="R1028" s="11">
        <v>26.258655999999998</v>
      </c>
      <c r="S1028" s="11">
        <v>-81.303640000000001</v>
      </c>
      <c r="T1028" s="11" t="s">
        <v>12176</v>
      </c>
      <c r="U1028" s="11" t="s">
        <v>12177</v>
      </c>
      <c r="V1028" s="17" t="s">
        <v>12178</v>
      </c>
      <c r="W1028" s="17" t="s">
        <v>12198</v>
      </c>
      <c r="X1028" s="70">
        <v>38.1</v>
      </c>
      <c r="Y1028" s="70">
        <v>18.100000000000001</v>
      </c>
      <c r="Z1028" s="13">
        <v>38779</v>
      </c>
      <c r="AA1028" s="13">
        <v>36864</v>
      </c>
      <c r="AB1028" s="13">
        <v>36880</v>
      </c>
      <c r="AC1028" s="13"/>
      <c r="AD1028" s="86">
        <v>11558</v>
      </c>
      <c r="AE1028" s="70">
        <v>12696</v>
      </c>
      <c r="AF1028" s="70" t="s">
        <v>12180</v>
      </c>
      <c r="AG1028" s="17" t="s">
        <v>9162</v>
      </c>
      <c r="AH1028" s="17" t="s">
        <v>12181</v>
      </c>
      <c r="AI1028" s="70" t="s">
        <v>12199</v>
      </c>
      <c r="AJ1028" s="17" t="s">
        <v>12200</v>
      </c>
      <c r="AK1028" s="17" t="s">
        <v>95</v>
      </c>
      <c r="AL1028" s="17" t="s">
        <v>12201</v>
      </c>
      <c r="AM1028" s="17"/>
      <c r="AN1028" s="17" t="s">
        <v>86</v>
      </c>
      <c r="AO1028" s="17" t="s">
        <v>12202</v>
      </c>
      <c r="AP1028" s="17" t="s">
        <v>12203</v>
      </c>
      <c r="AQ1028" s="17" t="s">
        <v>12204</v>
      </c>
      <c r="AR1028" s="17" t="s">
        <v>12205</v>
      </c>
      <c r="AS1028" s="17"/>
      <c r="AT1028" s="17"/>
      <c r="AU1028" s="30" t="s">
        <v>12206</v>
      </c>
      <c r="AV1028" s="14">
        <v>19222</v>
      </c>
      <c r="AW1028" s="74">
        <v>304273</v>
      </c>
      <c r="AX1028" s="1"/>
      <c r="AY1028" s="17" t="s">
        <v>101</v>
      </c>
    </row>
    <row r="1029" spans="1:51" ht="12.75" customHeight="1" x14ac:dyDescent="0.25">
      <c r="A1029" s="5">
        <v>982</v>
      </c>
      <c r="B1029" s="9">
        <v>982</v>
      </c>
      <c r="C1029" s="9" t="s">
        <v>12207</v>
      </c>
      <c r="D1029" s="57" t="str">
        <f>HYPERLINK("http://prodenv.dep.state.fl.us/DepNexus/public/electronic-documents/OG_982/facility!search","OG_982_Docs")</f>
        <v>OG_982_Docs</v>
      </c>
      <c r="E1029" s="57" t="str">
        <f>HYPERLINK("https://ca.dep.state.fl.us/mapdirect/?focus=oilandgas&amp;zoom=query&amp;querytype=oilandgas&amp;queryvalues=OG_982","OG_982_Map")</f>
        <v>OG_982_Map</v>
      </c>
      <c r="F1029" s="1" t="s">
        <v>265</v>
      </c>
      <c r="G1029" s="1" t="s">
        <v>11170</v>
      </c>
      <c r="H1029" s="1" t="s">
        <v>8261</v>
      </c>
      <c r="I1029" s="1" t="s">
        <v>12208</v>
      </c>
      <c r="J1029" s="17" t="s">
        <v>82</v>
      </c>
      <c r="K1029" s="17" t="s">
        <v>83</v>
      </c>
      <c r="L1029" s="17"/>
      <c r="M1029" s="17" t="s">
        <v>101</v>
      </c>
      <c r="N1029" s="52" t="s">
        <v>4735</v>
      </c>
      <c r="O1029" s="17" t="s">
        <v>270</v>
      </c>
      <c r="P1029" s="17" t="s">
        <v>3395</v>
      </c>
      <c r="Q1029" s="81" t="s">
        <v>12209</v>
      </c>
      <c r="R1029" s="11">
        <v>26.202870999999998</v>
      </c>
      <c r="S1029" s="11">
        <v>-81.294146999999995</v>
      </c>
      <c r="T1029" s="11" t="s">
        <v>12210</v>
      </c>
      <c r="U1029" s="11" t="s">
        <v>12211</v>
      </c>
      <c r="V1029" s="17" t="s">
        <v>12212</v>
      </c>
      <c r="W1029" s="17" t="s">
        <v>12213</v>
      </c>
      <c r="X1029" s="70">
        <v>39</v>
      </c>
      <c r="Y1029" s="70">
        <v>16</v>
      </c>
      <c r="Z1029" s="13">
        <v>29032</v>
      </c>
      <c r="AA1029" s="13">
        <v>29732</v>
      </c>
      <c r="AB1029" s="13"/>
      <c r="AC1029" s="13">
        <v>33290</v>
      </c>
      <c r="AD1029" s="86">
        <v>11934</v>
      </c>
      <c r="AE1029" s="86">
        <v>11934</v>
      </c>
      <c r="AF1029" s="70" t="s">
        <v>12214</v>
      </c>
      <c r="AG1029" s="17" t="s">
        <v>12215</v>
      </c>
      <c r="AH1029" s="17" t="s">
        <v>12216</v>
      </c>
      <c r="AI1029" s="70" t="s">
        <v>94</v>
      </c>
      <c r="AJ1029" s="17" t="s">
        <v>94</v>
      </c>
      <c r="AK1029" s="17" t="s">
        <v>95</v>
      </c>
      <c r="AL1029" s="17" t="s">
        <v>12217</v>
      </c>
      <c r="AM1029" s="17" t="s">
        <v>825</v>
      </c>
      <c r="AN1029" s="17" t="s">
        <v>94</v>
      </c>
      <c r="AO1029" s="17" t="s">
        <v>98</v>
      </c>
      <c r="AP1029" s="17" t="s">
        <v>98</v>
      </c>
      <c r="AQ1029" s="17" t="s">
        <v>98</v>
      </c>
      <c r="AR1029" s="17" t="s">
        <v>94</v>
      </c>
      <c r="AS1029" s="17" t="s">
        <v>12218</v>
      </c>
      <c r="AT1029" s="17"/>
      <c r="AU1029" s="30" t="s">
        <v>12219</v>
      </c>
      <c r="AV1029" s="14">
        <v>14924</v>
      </c>
      <c r="AW1029" s="74"/>
      <c r="AX1029" s="1"/>
      <c r="AY1029" s="17" t="s">
        <v>101</v>
      </c>
    </row>
    <row r="1030" spans="1:51" ht="15" customHeight="1" x14ac:dyDescent="0.25">
      <c r="A1030" s="5">
        <v>983</v>
      </c>
      <c r="B1030" s="9">
        <v>983</v>
      </c>
      <c r="C1030" s="9" t="s">
        <v>12220</v>
      </c>
      <c r="D1030" s="57" t="str">
        <f>HYPERLINK("http://prodenv.dep.state.fl.us/DepNexus/public/electronic-documents/OG_983/facility!search","OG_983_Docs")</f>
        <v>OG_983_Docs</v>
      </c>
      <c r="E1030" s="57" t="str">
        <f>HYPERLINK("https://ca.dep.state.fl.us/mapdirect/?focus=oilandgas&amp;zoom=query&amp;querytype=oilandgas&amp;queryvalues=OG_983","OG_983_Map")</f>
        <v>OG_983_Map</v>
      </c>
      <c r="F1030" s="1" t="s">
        <v>1752</v>
      </c>
      <c r="G1030" s="1" t="s">
        <v>11251</v>
      </c>
      <c r="H1030" s="1" t="s">
        <v>12149</v>
      </c>
      <c r="I1030" s="1" t="s">
        <v>12221</v>
      </c>
      <c r="J1030" s="17" t="s">
        <v>268</v>
      </c>
      <c r="K1030" s="17" t="s">
        <v>2105</v>
      </c>
      <c r="L1030" s="17"/>
      <c r="M1030" s="17" t="s">
        <v>101</v>
      </c>
      <c r="N1030" s="52" t="s">
        <v>12222</v>
      </c>
      <c r="O1030" s="17" t="s">
        <v>86</v>
      </c>
      <c r="P1030" s="17" t="s">
        <v>86</v>
      </c>
      <c r="Q1030" s="81" t="s">
        <v>12223</v>
      </c>
      <c r="R1030" s="11">
        <v>26.538962999999999</v>
      </c>
      <c r="S1030" s="11">
        <v>-81.501326000000006</v>
      </c>
      <c r="T1030" s="11" t="s">
        <v>12224</v>
      </c>
      <c r="U1030" s="11" t="s">
        <v>12225</v>
      </c>
      <c r="V1030" s="17" t="s">
        <v>12226</v>
      </c>
      <c r="W1030" s="17" t="s">
        <v>110</v>
      </c>
      <c r="X1030" s="70">
        <v>51</v>
      </c>
      <c r="Y1030" s="70">
        <v>36</v>
      </c>
      <c r="Z1030" s="13">
        <v>29032</v>
      </c>
      <c r="AA1030" s="13">
        <v>29123</v>
      </c>
      <c r="AB1030" s="13">
        <v>29215</v>
      </c>
      <c r="AC1030" s="13">
        <v>31355</v>
      </c>
      <c r="AD1030" s="86">
        <v>11493</v>
      </c>
      <c r="AE1030" s="86">
        <v>11493</v>
      </c>
      <c r="AF1030" s="70" t="s">
        <v>12227</v>
      </c>
      <c r="AG1030" s="17" t="s">
        <v>3800</v>
      </c>
      <c r="AH1030" s="17" t="s">
        <v>12228</v>
      </c>
      <c r="AI1030" s="70" t="s">
        <v>12229</v>
      </c>
      <c r="AJ1030" s="17" t="s">
        <v>94</v>
      </c>
      <c r="AK1030" s="17" t="s">
        <v>95</v>
      </c>
      <c r="AL1030" s="17" t="s">
        <v>12230</v>
      </c>
      <c r="AM1030" s="17" t="s">
        <v>95</v>
      </c>
      <c r="AN1030" s="17" t="s">
        <v>95</v>
      </c>
      <c r="AO1030" s="17" t="s">
        <v>12231</v>
      </c>
      <c r="AP1030" s="17" t="s">
        <v>4176</v>
      </c>
      <c r="AQ1030" s="17" t="s">
        <v>12232</v>
      </c>
      <c r="AR1030" s="17" t="s">
        <v>12233</v>
      </c>
      <c r="AS1030" s="17" t="s">
        <v>12234</v>
      </c>
      <c r="AT1030" s="17">
        <v>175</v>
      </c>
      <c r="AU1030" s="30" t="s">
        <v>12235</v>
      </c>
      <c r="AV1030" s="14">
        <v>14380</v>
      </c>
      <c r="AW1030" s="74"/>
      <c r="AX1030" s="1"/>
      <c r="AY1030" s="17" t="s">
        <v>101</v>
      </c>
    </row>
    <row r="1031" spans="1:51" ht="12.75" customHeight="1" x14ac:dyDescent="0.25">
      <c r="A1031" s="5">
        <v>984</v>
      </c>
      <c r="B1031" s="9">
        <v>984</v>
      </c>
      <c r="C1031" s="9" t="s">
        <v>12236</v>
      </c>
      <c r="D1031" s="57" t="str">
        <f>HYPERLINK("http://prodenv.dep.state.fl.us/DepNexus/public/electronic-documents/OG_984/facility!search","OG_984_Docs")</f>
        <v>OG_984_Docs</v>
      </c>
      <c r="E1031" s="57" t="str">
        <f>HYPERLINK("https://ca.dep.state.fl.us/mapdirect/?focus=oilandgas&amp;zoom=query&amp;querytype=oilandgas&amp;queryvalues=OG_984","OG_984_Map")</f>
        <v>OG_984_Map</v>
      </c>
      <c r="F1031" s="1" t="s">
        <v>1041</v>
      </c>
      <c r="G1031" s="1" t="s">
        <v>79</v>
      </c>
      <c r="H1031" s="1" t="s">
        <v>12237</v>
      </c>
      <c r="I1031" s="1" t="s">
        <v>12238</v>
      </c>
      <c r="J1031" s="17" t="s">
        <v>207</v>
      </c>
      <c r="K1031" s="17" t="s">
        <v>208</v>
      </c>
      <c r="L1031" s="17"/>
      <c r="M1031" s="17" t="s">
        <v>207</v>
      </c>
      <c r="N1031" s="52" t="s">
        <v>207</v>
      </c>
      <c r="O1031" s="17" t="s">
        <v>86</v>
      </c>
      <c r="P1031" s="17" t="s">
        <v>86</v>
      </c>
      <c r="Q1031" s="81" t="s">
        <v>12239</v>
      </c>
      <c r="R1031" s="11">
        <v>30.181473</v>
      </c>
      <c r="S1031" s="11">
        <v>-82.527106000000003</v>
      </c>
      <c r="T1031" s="11" t="s">
        <v>12240</v>
      </c>
      <c r="U1031" s="11" t="s">
        <v>12241</v>
      </c>
      <c r="V1031" s="17" t="s">
        <v>12242</v>
      </c>
      <c r="W1031" s="17" t="s">
        <v>110</v>
      </c>
      <c r="X1031" s="70"/>
      <c r="Y1031" s="70"/>
      <c r="Z1031" s="13">
        <v>29088</v>
      </c>
      <c r="AA1031" s="13"/>
      <c r="AB1031" s="13"/>
      <c r="AC1031" s="13"/>
      <c r="AD1031" s="86"/>
      <c r="AE1031" s="70"/>
      <c r="AF1031" s="70" t="s">
        <v>207</v>
      </c>
      <c r="AG1031" s="17" t="s">
        <v>207</v>
      </c>
      <c r="AH1031" s="17" t="s">
        <v>207</v>
      </c>
      <c r="AI1031" s="70" t="s">
        <v>207</v>
      </c>
      <c r="AJ1031" s="17" t="s">
        <v>207</v>
      </c>
      <c r="AK1031" s="17" t="s">
        <v>207</v>
      </c>
      <c r="AL1031" s="17" t="s">
        <v>207</v>
      </c>
      <c r="AM1031" s="17" t="s">
        <v>207</v>
      </c>
      <c r="AN1031" s="17" t="s">
        <v>207</v>
      </c>
      <c r="AO1031" s="17" t="s">
        <v>207</v>
      </c>
      <c r="AP1031" s="17" t="s">
        <v>207</v>
      </c>
      <c r="AQ1031" s="17" t="s">
        <v>207</v>
      </c>
      <c r="AR1031" s="17" t="s">
        <v>207</v>
      </c>
      <c r="AS1031" s="17" t="s">
        <v>207</v>
      </c>
      <c r="AT1031" s="17" t="s">
        <v>207</v>
      </c>
      <c r="AU1031" s="30" t="s">
        <v>12243</v>
      </c>
      <c r="AV1031" s="14" t="s">
        <v>207</v>
      </c>
      <c r="AW1031" s="74"/>
      <c r="AX1031" s="1"/>
      <c r="AY1031" s="17" t="s">
        <v>101</v>
      </c>
    </row>
    <row r="1032" spans="1:51" ht="15" customHeight="1" x14ac:dyDescent="0.25">
      <c r="A1032" s="5">
        <v>985</v>
      </c>
      <c r="B1032" s="9">
        <v>985</v>
      </c>
      <c r="C1032" s="9" t="s">
        <v>12244</v>
      </c>
      <c r="D1032" s="57" t="str">
        <f>HYPERLINK("http://prodenv.dep.state.fl.us/DepNexus/public/electronic-documents/OG_985/facility!search","OG_985_Docs")</f>
        <v>OG_985_Docs</v>
      </c>
      <c r="E1032" s="57" t="str">
        <f>HYPERLINK("https://ca.dep.state.fl.us/mapdirect/?focus=oilandgas&amp;zoom=query&amp;querytype=oilandgas&amp;queryvalues=OG_985","OG_985_Map")</f>
        <v>OG_985_Map</v>
      </c>
      <c r="F1032" s="1" t="s">
        <v>1041</v>
      </c>
      <c r="G1032" s="1" t="s">
        <v>79</v>
      </c>
      <c r="H1032" s="1" t="s">
        <v>12237</v>
      </c>
      <c r="I1032" s="1" t="s">
        <v>12245</v>
      </c>
      <c r="J1032" s="17" t="s">
        <v>207</v>
      </c>
      <c r="K1032" s="17" t="s">
        <v>208</v>
      </c>
      <c r="L1032" s="17"/>
      <c r="M1032" s="17" t="s">
        <v>207</v>
      </c>
      <c r="N1032" s="52" t="s">
        <v>207</v>
      </c>
      <c r="O1032" s="17" t="s">
        <v>86</v>
      </c>
      <c r="P1032" s="17" t="s">
        <v>86</v>
      </c>
      <c r="Q1032" s="81" t="s">
        <v>12246</v>
      </c>
      <c r="R1032" s="11">
        <v>30.130392000000001</v>
      </c>
      <c r="S1032" s="11">
        <v>-82.532730999999998</v>
      </c>
      <c r="T1032" s="11" t="s">
        <v>12247</v>
      </c>
      <c r="U1032" s="11" t="s">
        <v>12248</v>
      </c>
      <c r="V1032" s="17" t="s">
        <v>12249</v>
      </c>
      <c r="W1032" s="17" t="s">
        <v>110</v>
      </c>
      <c r="X1032" s="70"/>
      <c r="Y1032" s="70"/>
      <c r="Z1032" s="13">
        <v>29088</v>
      </c>
      <c r="AA1032" s="13"/>
      <c r="AB1032" s="13"/>
      <c r="AC1032" s="13"/>
      <c r="AD1032" s="86"/>
      <c r="AE1032" s="70"/>
      <c r="AF1032" s="70" t="s">
        <v>207</v>
      </c>
      <c r="AG1032" s="17" t="s">
        <v>207</v>
      </c>
      <c r="AH1032" s="17" t="s">
        <v>207</v>
      </c>
      <c r="AI1032" s="70" t="s">
        <v>207</v>
      </c>
      <c r="AJ1032" s="17" t="s">
        <v>207</v>
      </c>
      <c r="AK1032" s="17" t="s">
        <v>207</v>
      </c>
      <c r="AL1032" s="17" t="s">
        <v>207</v>
      </c>
      <c r="AM1032" s="17" t="s">
        <v>207</v>
      </c>
      <c r="AN1032" s="17" t="s">
        <v>207</v>
      </c>
      <c r="AO1032" s="17" t="s">
        <v>207</v>
      </c>
      <c r="AP1032" s="17" t="s">
        <v>207</v>
      </c>
      <c r="AQ1032" s="17" t="s">
        <v>207</v>
      </c>
      <c r="AR1032" s="17" t="s">
        <v>207</v>
      </c>
      <c r="AS1032" s="17" t="s">
        <v>207</v>
      </c>
      <c r="AT1032" s="17" t="s">
        <v>207</v>
      </c>
      <c r="AU1032" s="30" t="s">
        <v>12250</v>
      </c>
      <c r="AV1032" s="14" t="s">
        <v>207</v>
      </c>
      <c r="AW1032" s="74"/>
      <c r="AX1032" s="1"/>
      <c r="AY1032" s="17" t="s">
        <v>101</v>
      </c>
    </row>
    <row r="1033" spans="1:51" ht="12.75" customHeight="1" x14ac:dyDescent="0.25">
      <c r="A1033" s="5">
        <v>986</v>
      </c>
      <c r="B1033" s="9">
        <v>986</v>
      </c>
      <c r="C1033" s="9" t="s">
        <v>12251</v>
      </c>
      <c r="D1033" s="57" t="str">
        <f>HYPERLINK("http://prodenv.dep.state.fl.us/DepNexus/public/electronic-documents/OG_986/facility!search","OG_986_Docs")</f>
        <v>OG_986_Docs</v>
      </c>
      <c r="E1033" s="57" t="str">
        <f>HYPERLINK("https://ca.dep.state.fl.us/mapdirect/?focus=oilandgas&amp;zoom=query&amp;querytype=oilandgas&amp;queryvalues=OG_986","OG_986_Map")</f>
        <v>OG_986_Map</v>
      </c>
      <c r="F1033" s="1" t="s">
        <v>1041</v>
      </c>
      <c r="G1033" s="1" t="s">
        <v>79</v>
      </c>
      <c r="H1033" s="1" t="s">
        <v>12237</v>
      </c>
      <c r="I1033" s="1" t="s">
        <v>12252</v>
      </c>
      <c r="J1033" s="17" t="s">
        <v>82</v>
      </c>
      <c r="K1033" s="17" t="s">
        <v>83</v>
      </c>
      <c r="L1033" s="17"/>
      <c r="M1033" s="17"/>
      <c r="N1033" s="52" t="s">
        <v>5949</v>
      </c>
      <c r="O1033" s="17" t="s">
        <v>86</v>
      </c>
      <c r="P1033" s="17" t="s">
        <v>86</v>
      </c>
      <c r="Q1033" s="81" t="s">
        <v>12253</v>
      </c>
      <c r="R1033" s="11">
        <v>30.162466999999999</v>
      </c>
      <c r="S1033" s="11">
        <v>-82.536377000000002</v>
      </c>
      <c r="T1033" s="11" t="s">
        <v>12254</v>
      </c>
      <c r="U1033" s="11" t="s">
        <v>12255</v>
      </c>
      <c r="V1033" s="17" t="s">
        <v>12256</v>
      </c>
      <c r="W1033" s="17" t="s">
        <v>110</v>
      </c>
      <c r="X1033" s="70">
        <v>194</v>
      </c>
      <c r="Y1033" s="70">
        <v>181</v>
      </c>
      <c r="Z1033" s="13">
        <v>29088</v>
      </c>
      <c r="AA1033" s="13">
        <v>29120</v>
      </c>
      <c r="AB1033" s="13">
        <v>29185</v>
      </c>
      <c r="AC1033" s="13">
        <v>29185</v>
      </c>
      <c r="AD1033" s="86">
        <v>3030</v>
      </c>
      <c r="AE1033" s="86">
        <v>3030</v>
      </c>
      <c r="AF1033" s="70" t="s">
        <v>12257</v>
      </c>
      <c r="AG1033" s="17" t="s">
        <v>12258</v>
      </c>
      <c r="AH1033" s="17" t="s">
        <v>12259</v>
      </c>
      <c r="AI1033" s="70" t="s">
        <v>94</v>
      </c>
      <c r="AJ1033" s="17" t="s">
        <v>12260</v>
      </c>
      <c r="AK1033" s="17" t="s">
        <v>95</v>
      </c>
      <c r="AL1033" s="17"/>
      <c r="AM1033" s="17" t="s">
        <v>94</v>
      </c>
      <c r="AN1033" s="17" t="s">
        <v>94</v>
      </c>
      <c r="AO1033" s="17" t="s">
        <v>98</v>
      </c>
      <c r="AP1033" s="17" t="s">
        <v>98</v>
      </c>
      <c r="AQ1033" s="17" t="s">
        <v>98</v>
      </c>
      <c r="AR1033" s="17" t="s">
        <v>94</v>
      </c>
      <c r="AS1033" s="17" t="s">
        <v>12261</v>
      </c>
      <c r="AT1033" s="17">
        <v>115</v>
      </c>
      <c r="AU1033" s="30" t="s">
        <v>12262</v>
      </c>
      <c r="AV1033" s="14">
        <v>14379</v>
      </c>
      <c r="AW1033" s="74"/>
      <c r="AX1033" s="1"/>
      <c r="AY1033" s="17" t="s">
        <v>101</v>
      </c>
    </row>
    <row r="1034" spans="1:51" ht="12.75" customHeight="1" x14ac:dyDescent="0.25">
      <c r="A1034" s="5">
        <v>987</v>
      </c>
      <c r="B1034" s="9">
        <v>987</v>
      </c>
      <c r="C1034" s="9" t="s">
        <v>12263</v>
      </c>
      <c r="D1034" s="57" t="str">
        <f>HYPERLINK("http://prodenv.dep.state.fl.us/DepNexus/public/electronic-documents/OG_987/facility!search","OG_987_Docs")</f>
        <v>OG_987_Docs</v>
      </c>
      <c r="E1034" s="57" t="str">
        <f>HYPERLINK("https://ca.dep.state.fl.us/mapdirect/?focus=oilandgas&amp;zoom=query&amp;querytype=oilandgas&amp;queryvalues=OG_987","OG_987_Map")</f>
        <v>OG_987_Map</v>
      </c>
      <c r="F1034" s="1" t="s">
        <v>1752</v>
      </c>
      <c r="G1034" s="1" t="s">
        <v>79</v>
      </c>
      <c r="H1034" s="1" t="s">
        <v>8261</v>
      </c>
      <c r="I1034" s="1" t="s">
        <v>12264</v>
      </c>
      <c r="J1034" s="17" t="s">
        <v>82</v>
      </c>
      <c r="K1034" s="17" t="s">
        <v>83</v>
      </c>
      <c r="L1034" s="17"/>
      <c r="M1034" s="17"/>
      <c r="N1034" s="52" t="s">
        <v>12265</v>
      </c>
      <c r="O1034" s="17" t="s">
        <v>86</v>
      </c>
      <c r="P1034" s="17" t="s">
        <v>86</v>
      </c>
      <c r="Q1034" s="81" t="s">
        <v>12266</v>
      </c>
      <c r="R1034" s="11">
        <v>26.582536999999999</v>
      </c>
      <c r="S1034" s="11">
        <v>-81.536275000000003</v>
      </c>
      <c r="T1034" s="11" t="s">
        <v>12267</v>
      </c>
      <c r="U1034" s="11" t="s">
        <v>12268</v>
      </c>
      <c r="V1034" s="17" t="s">
        <v>12269</v>
      </c>
      <c r="W1034" s="17"/>
      <c r="X1034" s="70">
        <v>54</v>
      </c>
      <c r="Y1034" s="70">
        <v>30</v>
      </c>
      <c r="Z1034" s="13">
        <v>29104</v>
      </c>
      <c r="AA1034" s="13">
        <v>29112</v>
      </c>
      <c r="AB1034" s="13"/>
      <c r="AC1034" s="13">
        <v>29147</v>
      </c>
      <c r="AD1034" s="86">
        <v>11680</v>
      </c>
      <c r="AE1034" s="86">
        <v>11680</v>
      </c>
      <c r="AF1034" s="70" t="s">
        <v>12270</v>
      </c>
      <c r="AG1034" s="17" t="s">
        <v>12271</v>
      </c>
      <c r="AH1034" s="17" t="s">
        <v>12272</v>
      </c>
      <c r="AI1034" s="70"/>
      <c r="AJ1034" s="17"/>
      <c r="AK1034" s="17" t="s">
        <v>95</v>
      </c>
      <c r="AL1034" s="17" t="s">
        <v>12273</v>
      </c>
      <c r="AM1034" s="17" t="s">
        <v>94</v>
      </c>
      <c r="AN1034" s="17" t="s">
        <v>94</v>
      </c>
      <c r="AO1034" s="17" t="s">
        <v>98</v>
      </c>
      <c r="AP1034" s="17" t="s">
        <v>98</v>
      </c>
      <c r="AQ1034" s="17" t="s">
        <v>98</v>
      </c>
      <c r="AR1034" s="17" t="s">
        <v>94</v>
      </c>
      <c r="AS1034" s="17" t="s">
        <v>12274</v>
      </c>
      <c r="AT1034" s="17"/>
      <c r="AU1034" s="30" t="s">
        <v>12275</v>
      </c>
      <c r="AV1034" s="14">
        <v>14365</v>
      </c>
      <c r="AW1034" s="74"/>
      <c r="AX1034" s="1"/>
      <c r="AY1034" s="17" t="s">
        <v>101</v>
      </c>
    </row>
    <row r="1035" spans="1:51" ht="12.75" customHeight="1" x14ac:dyDescent="0.25">
      <c r="A1035" s="5">
        <v>988</v>
      </c>
      <c r="B1035" s="9">
        <v>988</v>
      </c>
      <c r="C1035" s="9" t="s">
        <v>12276</v>
      </c>
      <c r="D1035" s="57" t="str">
        <f>HYPERLINK("http://prodenv.dep.state.fl.us/DepNexus/public/electronic-documents/OG_988/facility!search","OG_988_Docs")</f>
        <v>OG_988_Docs</v>
      </c>
      <c r="E1035" s="57" t="str">
        <f>HYPERLINK("https://ca.dep.state.fl.us/mapdirect/?focus=oilandgas&amp;zoom=query&amp;querytype=oilandgas&amp;queryvalues=OG_988","OG_988_Map")</f>
        <v>OG_988_Map</v>
      </c>
      <c r="F1035" s="1" t="s">
        <v>1797</v>
      </c>
      <c r="G1035" s="1" t="s">
        <v>6648</v>
      </c>
      <c r="H1035" s="1" t="s">
        <v>8261</v>
      </c>
      <c r="I1035" s="1" t="s">
        <v>12277</v>
      </c>
      <c r="J1035" s="17" t="s">
        <v>82</v>
      </c>
      <c r="K1035" s="17" t="s">
        <v>83</v>
      </c>
      <c r="L1035" s="17"/>
      <c r="M1035" s="17" t="s">
        <v>101</v>
      </c>
      <c r="N1035" s="52" t="s">
        <v>9444</v>
      </c>
      <c r="O1035" s="17" t="s">
        <v>86</v>
      </c>
      <c r="P1035" s="17" t="s">
        <v>86</v>
      </c>
      <c r="Q1035" s="81" t="s">
        <v>12278</v>
      </c>
      <c r="R1035" s="11">
        <v>30.864158</v>
      </c>
      <c r="S1035" s="11">
        <v>-87.116650000000007</v>
      </c>
      <c r="T1035" s="11" t="s">
        <v>12279</v>
      </c>
      <c r="U1035" s="11" t="s">
        <v>12280</v>
      </c>
      <c r="V1035" s="17" t="s">
        <v>12281</v>
      </c>
      <c r="W1035" s="17"/>
      <c r="X1035" s="70"/>
      <c r="Y1035" s="70"/>
      <c r="Z1035" s="13">
        <v>29106</v>
      </c>
      <c r="AA1035" s="13">
        <v>29150</v>
      </c>
      <c r="AB1035" s="13"/>
      <c r="AC1035" s="13">
        <v>29199</v>
      </c>
      <c r="AD1035" s="86">
        <v>15974</v>
      </c>
      <c r="AE1035" s="70"/>
      <c r="AF1035" s="70" t="s">
        <v>12282</v>
      </c>
      <c r="AG1035" s="17" t="s">
        <v>12283</v>
      </c>
      <c r="AH1035" s="17" t="s">
        <v>94</v>
      </c>
      <c r="AI1035" s="70" t="s">
        <v>86</v>
      </c>
      <c r="AJ1035" s="17" t="s">
        <v>94</v>
      </c>
      <c r="AK1035" s="17"/>
      <c r="AL1035" s="17" t="s">
        <v>12284</v>
      </c>
      <c r="AM1035" s="17"/>
      <c r="AN1035" s="17" t="s">
        <v>94</v>
      </c>
      <c r="AO1035" s="17" t="s">
        <v>94</v>
      </c>
      <c r="AP1035" s="17" t="s">
        <v>94</v>
      </c>
      <c r="AQ1035" s="17" t="s">
        <v>94</v>
      </c>
      <c r="AR1035" s="17" t="s">
        <v>94</v>
      </c>
      <c r="AS1035" s="17" t="s">
        <v>12285</v>
      </c>
      <c r="AT1035" s="17"/>
      <c r="AU1035" s="30" t="s">
        <v>12286</v>
      </c>
      <c r="AV1035" s="14">
        <v>14515</v>
      </c>
      <c r="AW1035" s="74"/>
      <c r="AX1035" s="1"/>
      <c r="AY1035" s="17" t="s">
        <v>101</v>
      </c>
    </row>
    <row r="1036" spans="1:51" ht="12.75" customHeight="1" x14ac:dyDescent="0.25">
      <c r="A1036" s="5">
        <v>988.1</v>
      </c>
      <c r="B1036" s="9" t="s">
        <v>12287</v>
      </c>
      <c r="C1036" s="9" t="s">
        <v>12276</v>
      </c>
      <c r="D1036" s="57" t="str">
        <f>HYPERLINK("http://prodenv.dep.state.fl.us/DepNexus/public/electronic-documents/OG_988/facility!search","OG_988_Docs")</f>
        <v>OG_988_Docs</v>
      </c>
      <c r="E1036" s="57" t="str">
        <f>HYPERLINK("https://ca.dep.state.fl.us/mapdirect/?focus=oilandgas&amp;zoom=query&amp;querytype=oilandgas&amp;queryvalues=OG_988","OG_988_Map")</f>
        <v>OG_988_Map</v>
      </c>
      <c r="F1036" s="1" t="s">
        <v>1797</v>
      </c>
      <c r="G1036" s="1" t="s">
        <v>6648</v>
      </c>
      <c r="H1036" s="1" t="s">
        <v>11502</v>
      </c>
      <c r="I1036" s="1" t="s">
        <v>7529</v>
      </c>
      <c r="J1036" s="17" t="s">
        <v>6670</v>
      </c>
      <c r="K1036" s="17" t="s">
        <v>6671</v>
      </c>
      <c r="L1036" s="17"/>
      <c r="M1036" s="17" t="s">
        <v>101</v>
      </c>
      <c r="N1036" s="52" t="s">
        <v>6529</v>
      </c>
      <c r="O1036" s="17" t="s">
        <v>86</v>
      </c>
      <c r="P1036" s="17" t="s">
        <v>86</v>
      </c>
      <c r="Q1036" s="81" t="s">
        <v>7530</v>
      </c>
      <c r="R1036" s="11">
        <v>30.864158</v>
      </c>
      <c r="S1036" s="11">
        <v>-87.116650000000007</v>
      </c>
      <c r="T1036" s="11" t="s">
        <v>12279</v>
      </c>
      <c r="U1036" s="11" t="s">
        <v>12280</v>
      </c>
      <c r="V1036" s="17" t="s">
        <v>12281</v>
      </c>
      <c r="W1036" s="17" t="s">
        <v>12288</v>
      </c>
      <c r="X1036" s="70">
        <v>182</v>
      </c>
      <c r="Y1036" s="70">
        <v>152</v>
      </c>
      <c r="Z1036" s="13">
        <v>29235</v>
      </c>
      <c r="AA1036" s="13">
        <v>29200</v>
      </c>
      <c r="AB1036" s="13">
        <v>29481</v>
      </c>
      <c r="AC1036" s="13">
        <v>33780</v>
      </c>
      <c r="AD1036" s="86">
        <v>16099</v>
      </c>
      <c r="AE1036" s="86">
        <v>16616</v>
      </c>
      <c r="AF1036" s="70" t="s">
        <v>12282</v>
      </c>
      <c r="AG1036" s="17" t="s">
        <v>12283</v>
      </c>
      <c r="AH1036" s="17" t="s">
        <v>94</v>
      </c>
      <c r="AI1036" s="70" t="s">
        <v>12289</v>
      </c>
      <c r="AJ1036" s="17" t="s">
        <v>12290</v>
      </c>
      <c r="AK1036" s="17"/>
      <c r="AL1036" s="17"/>
      <c r="AM1036" s="17"/>
      <c r="AN1036" s="17" t="s">
        <v>86</v>
      </c>
      <c r="AO1036" s="17" t="s">
        <v>94</v>
      </c>
      <c r="AP1036" s="17" t="s">
        <v>94</v>
      </c>
      <c r="AQ1036" s="17" t="s">
        <v>94</v>
      </c>
      <c r="AR1036" s="17" t="s">
        <v>12291</v>
      </c>
      <c r="AS1036" s="17" t="s">
        <v>12292</v>
      </c>
      <c r="AT1036" s="17">
        <v>259</v>
      </c>
      <c r="AU1036" s="30" t="s">
        <v>12293</v>
      </c>
      <c r="AV1036" s="14" t="s">
        <v>94</v>
      </c>
      <c r="AW1036" s="74"/>
      <c r="AX1036" s="1" t="s">
        <v>12294</v>
      </c>
      <c r="AY1036" s="17" t="s">
        <v>101</v>
      </c>
    </row>
    <row r="1037" spans="1:51" ht="12.75" customHeight="1" x14ac:dyDescent="0.25">
      <c r="A1037" s="5">
        <v>989</v>
      </c>
      <c r="B1037" s="9">
        <v>989</v>
      </c>
      <c r="C1037" s="9" t="s">
        <v>12295</v>
      </c>
      <c r="D1037" s="57" t="str">
        <f>HYPERLINK("http://prodenv.dep.state.fl.us/DepNexus/public/electronic-documents/OG_989/facility!search","OG_989_Docs")</f>
        <v>OG_989_Docs</v>
      </c>
      <c r="E1037" s="57" t="str">
        <f>HYPERLINK("https://ca.dep.state.fl.us/mapdirect/?focus=oilandgas&amp;zoom=query&amp;querytype=oilandgas&amp;queryvalues=OG_989","OG_989_Map")</f>
        <v>OG_989_Map</v>
      </c>
      <c r="F1037" s="1" t="s">
        <v>1752</v>
      </c>
      <c r="G1037" s="1" t="s">
        <v>11251</v>
      </c>
      <c r="H1037" s="1" t="s">
        <v>12149</v>
      </c>
      <c r="I1037" s="1" t="s">
        <v>12296</v>
      </c>
      <c r="J1037" s="17" t="s">
        <v>82</v>
      </c>
      <c r="K1037" s="17" t="s">
        <v>83</v>
      </c>
      <c r="L1037" s="17"/>
      <c r="M1037" s="17"/>
      <c r="N1037" s="52" t="s">
        <v>6529</v>
      </c>
      <c r="O1037" s="17" t="s">
        <v>86</v>
      </c>
      <c r="P1037" s="17" t="s">
        <v>86</v>
      </c>
      <c r="Q1037" s="81" t="s">
        <v>12297</v>
      </c>
      <c r="R1037" s="11">
        <v>26.546099999999999</v>
      </c>
      <c r="S1037" s="11">
        <v>-81.501634999999993</v>
      </c>
      <c r="T1037" s="11" t="s">
        <v>12298</v>
      </c>
      <c r="U1037" s="11" t="s">
        <v>12299</v>
      </c>
      <c r="V1037" s="17" t="s">
        <v>12300</v>
      </c>
      <c r="W1037" s="17"/>
      <c r="X1037" s="70">
        <v>50</v>
      </c>
      <c r="Y1037" s="70">
        <v>35</v>
      </c>
      <c r="Z1037" s="13">
        <v>29116</v>
      </c>
      <c r="AA1037" s="13">
        <v>29391</v>
      </c>
      <c r="AB1037" s="13"/>
      <c r="AC1037" s="13">
        <v>29426</v>
      </c>
      <c r="AD1037" s="86">
        <v>11550</v>
      </c>
      <c r="AE1037" s="86">
        <v>11550</v>
      </c>
      <c r="AF1037" s="70" t="s">
        <v>12301</v>
      </c>
      <c r="AG1037" s="17" t="s">
        <v>12302</v>
      </c>
      <c r="AH1037" s="17" t="s">
        <v>12303</v>
      </c>
      <c r="AI1037" s="70" t="s">
        <v>94</v>
      </c>
      <c r="AJ1037" s="17" t="s">
        <v>94</v>
      </c>
      <c r="AK1037" s="17" t="s">
        <v>95</v>
      </c>
      <c r="AL1037" s="17" t="s">
        <v>12304</v>
      </c>
      <c r="AM1037" s="17" t="s">
        <v>825</v>
      </c>
      <c r="AN1037" s="17" t="s">
        <v>94</v>
      </c>
      <c r="AO1037" s="17" t="s">
        <v>98</v>
      </c>
      <c r="AP1037" s="17" t="s">
        <v>98</v>
      </c>
      <c r="AQ1037" s="17" t="s">
        <v>98</v>
      </c>
      <c r="AR1037" s="17" t="s">
        <v>94</v>
      </c>
      <c r="AS1037" s="17" t="s">
        <v>12305</v>
      </c>
      <c r="AT1037" s="17"/>
      <c r="AU1037" s="30" t="s">
        <v>12306</v>
      </c>
      <c r="AV1037" s="14">
        <v>14687</v>
      </c>
      <c r="AW1037" s="74"/>
      <c r="AX1037" s="1"/>
      <c r="AY1037" s="17" t="s">
        <v>101</v>
      </c>
    </row>
    <row r="1038" spans="1:51" ht="15" customHeight="1" x14ac:dyDescent="0.25">
      <c r="A1038" s="5">
        <v>990</v>
      </c>
      <c r="B1038" s="9">
        <v>990</v>
      </c>
      <c r="C1038" s="9" t="s">
        <v>12307</v>
      </c>
      <c r="D1038" s="57" t="str">
        <f>HYPERLINK("http://prodenv.dep.state.fl.us/DepNexus/public/electronic-documents/OG_990/facility!search","OG_990_Docs")</f>
        <v>OG_990_Docs</v>
      </c>
      <c r="E1038" s="57" t="str">
        <f>HYPERLINK("https://ca.dep.state.fl.us/mapdirect/?focus=oilandgas&amp;zoom=query&amp;querytype=oilandgas&amp;queryvalues=OG_990","OG_990_Map")</f>
        <v>OG_990_Map</v>
      </c>
      <c r="F1038" s="1" t="s">
        <v>1752</v>
      </c>
      <c r="G1038" s="1" t="s">
        <v>11251</v>
      </c>
      <c r="H1038" s="1" t="s">
        <v>12149</v>
      </c>
      <c r="I1038" s="1" t="s">
        <v>12308</v>
      </c>
      <c r="J1038" s="17" t="s">
        <v>82</v>
      </c>
      <c r="K1038" s="17" t="s">
        <v>83</v>
      </c>
      <c r="L1038" s="17"/>
      <c r="M1038" s="17" t="s">
        <v>101</v>
      </c>
      <c r="N1038" s="52" t="s">
        <v>4853</v>
      </c>
      <c r="O1038" s="17" t="s">
        <v>86</v>
      </c>
      <c r="P1038" s="17" t="s">
        <v>86</v>
      </c>
      <c r="Q1038" s="81" t="s">
        <v>12309</v>
      </c>
      <c r="R1038" s="11">
        <v>26.539203000000001</v>
      </c>
      <c r="S1038" s="11">
        <v>-81.495468000000002</v>
      </c>
      <c r="T1038" s="11" t="s">
        <v>12310</v>
      </c>
      <c r="U1038" s="11" t="s">
        <v>12311</v>
      </c>
      <c r="V1038" s="17" t="s">
        <v>12312</v>
      </c>
      <c r="W1038" s="17"/>
      <c r="X1038" s="70"/>
      <c r="Y1038" s="70"/>
      <c r="Z1038" s="13">
        <v>29116</v>
      </c>
      <c r="AA1038" s="13">
        <v>29547</v>
      </c>
      <c r="AB1038" s="13"/>
      <c r="AC1038" s="13">
        <v>29588</v>
      </c>
      <c r="AD1038" s="86">
        <v>11523</v>
      </c>
      <c r="AE1038" s="86">
        <v>11523</v>
      </c>
      <c r="AF1038" s="70" t="s">
        <v>12313</v>
      </c>
      <c r="AG1038" s="17" t="s">
        <v>12314</v>
      </c>
      <c r="AH1038" s="17" t="s">
        <v>12315</v>
      </c>
      <c r="AI1038" s="70" t="s">
        <v>98</v>
      </c>
      <c r="AJ1038" s="17" t="s">
        <v>98</v>
      </c>
      <c r="AK1038" s="17" t="s">
        <v>95</v>
      </c>
      <c r="AL1038" s="17" t="s">
        <v>12316</v>
      </c>
      <c r="AM1038" s="17"/>
      <c r="AN1038" s="17"/>
      <c r="AO1038" s="17"/>
      <c r="AP1038" s="17"/>
      <c r="AQ1038" s="17"/>
      <c r="AR1038" s="17"/>
      <c r="AS1038" s="17" t="s">
        <v>12317</v>
      </c>
      <c r="AT1038" s="17">
        <v>178</v>
      </c>
      <c r="AU1038" s="30" t="s">
        <v>12318</v>
      </c>
      <c r="AV1038" s="14">
        <v>14798</v>
      </c>
      <c r="AW1038" s="74"/>
      <c r="AX1038" s="1"/>
      <c r="AY1038" s="17" t="s">
        <v>101</v>
      </c>
    </row>
    <row r="1039" spans="1:51" ht="12.75" customHeight="1" x14ac:dyDescent="0.25">
      <c r="A1039" s="5">
        <v>991</v>
      </c>
      <c r="B1039" s="9">
        <v>991</v>
      </c>
      <c r="C1039" s="9" t="s">
        <v>12319</v>
      </c>
      <c r="D1039" s="57" t="str">
        <f>HYPERLINK("http://prodenv.dep.state.fl.us/DepNexus/public/electronic-documents/OG_991/facility!search","OG_991_Docs")</f>
        <v>OG_991_Docs</v>
      </c>
      <c r="E1039" s="57" t="str">
        <f>HYPERLINK("https://ca.dep.state.fl.us/mapdirect/?focus=oilandgas&amp;zoom=query&amp;querytype=oilandgas&amp;queryvalues=OG_991","OG_991_Map")</f>
        <v>OG_991_Map</v>
      </c>
      <c r="F1039" s="1" t="s">
        <v>1797</v>
      </c>
      <c r="G1039" s="1" t="s">
        <v>5133</v>
      </c>
      <c r="H1039" s="1" t="s">
        <v>1363</v>
      </c>
      <c r="I1039" s="1" t="s">
        <v>12320</v>
      </c>
      <c r="J1039" s="17" t="s">
        <v>3646</v>
      </c>
      <c r="K1039" s="17" t="s">
        <v>412</v>
      </c>
      <c r="L1039" s="17"/>
      <c r="M1039" s="17"/>
      <c r="N1039" s="52" t="s">
        <v>6529</v>
      </c>
      <c r="O1039" s="17" t="s">
        <v>86</v>
      </c>
      <c r="P1039" s="17" t="s">
        <v>86</v>
      </c>
      <c r="Q1039" s="81" t="s">
        <v>12321</v>
      </c>
      <c r="R1039" s="11">
        <v>30.967642999999999</v>
      </c>
      <c r="S1039" s="11">
        <v>-87.193710999999993</v>
      </c>
      <c r="T1039" s="11" t="s">
        <v>12322</v>
      </c>
      <c r="U1039" s="11" t="s">
        <v>12323</v>
      </c>
      <c r="V1039" s="17" t="s">
        <v>12324</v>
      </c>
      <c r="W1039" s="17" t="s">
        <v>12325</v>
      </c>
      <c r="X1039" s="70"/>
      <c r="Y1039" s="70"/>
      <c r="Z1039" s="13">
        <v>29165</v>
      </c>
      <c r="AA1039" s="13">
        <v>29291</v>
      </c>
      <c r="AB1039" s="13">
        <v>29419</v>
      </c>
      <c r="AC1039" s="13"/>
      <c r="AD1039" s="86">
        <v>15693</v>
      </c>
      <c r="AE1039" s="86">
        <v>16331</v>
      </c>
      <c r="AF1039" s="70" t="s">
        <v>12326</v>
      </c>
      <c r="AG1039" s="17" t="s">
        <v>12327</v>
      </c>
      <c r="AH1039" s="17" t="s">
        <v>94</v>
      </c>
      <c r="AI1039" s="70" t="s">
        <v>12328</v>
      </c>
      <c r="AJ1039" s="17" t="s">
        <v>12329</v>
      </c>
      <c r="AK1039" s="17" t="s">
        <v>95</v>
      </c>
      <c r="AL1039" s="17" t="s">
        <v>12330</v>
      </c>
      <c r="AM1039" s="17" t="s">
        <v>95</v>
      </c>
      <c r="AN1039" s="17" t="s">
        <v>825</v>
      </c>
      <c r="AO1039" s="17" t="s">
        <v>12331</v>
      </c>
      <c r="AP1039" s="17" t="s">
        <v>12332</v>
      </c>
      <c r="AQ1039" s="17" t="s">
        <v>6496</v>
      </c>
      <c r="AR1039" s="17" t="s">
        <v>12333</v>
      </c>
      <c r="AS1039" s="17"/>
      <c r="AT1039" s="17"/>
      <c r="AU1039" s="30" t="s">
        <v>12334</v>
      </c>
      <c r="AV1039" s="14">
        <v>14646</v>
      </c>
      <c r="AW1039" s="74">
        <v>309902</v>
      </c>
      <c r="AX1039" s="1"/>
      <c r="AY1039" s="17" t="s">
        <v>101</v>
      </c>
    </row>
    <row r="1040" spans="1:51" ht="12.75" customHeight="1" x14ac:dyDescent="0.25">
      <c r="A1040" s="5">
        <v>992</v>
      </c>
      <c r="B1040" s="9">
        <v>992</v>
      </c>
      <c r="C1040" s="9" t="s">
        <v>12335</v>
      </c>
      <c r="D1040" s="57" t="str">
        <f>HYPERLINK("http://prodenv.dep.state.fl.us/DepNexus/public/electronic-documents/OG_992/facility!search","OG_992_Docs")</f>
        <v>OG_992_Docs</v>
      </c>
      <c r="E1040" s="57" t="str">
        <f>HYPERLINK("https://ca.dep.state.fl.us/mapdirect/?focus=oilandgas&amp;zoom=query&amp;querytype=oilandgas&amp;queryvalues=OG_992","OG_992_Map")</f>
        <v>OG_992_Map</v>
      </c>
      <c r="F1040" s="1" t="s">
        <v>1797</v>
      </c>
      <c r="G1040" s="1" t="s">
        <v>6648</v>
      </c>
      <c r="H1040" s="1" t="s">
        <v>8261</v>
      </c>
      <c r="I1040" s="1" t="s">
        <v>7529</v>
      </c>
      <c r="J1040" s="17" t="s">
        <v>207</v>
      </c>
      <c r="K1040" s="17" t="s">
        <v>208</v>
      </c>
      <c r="L1040" s="17"/>
      <c r="M1040" s="17" t="s">
        <v>207</v>
      </c>
      <c r="N1040" s="52" t="s">
        <v>207</v>
      </c>
      <c r="O1040" s="17" t="s">
        <v>86</v>
      </c>
      <c r="P1040" s="17" t="s">
        <v>86</v>
      </c>
      <c r="Q1040" s="81" t="s">
        <v>7530</v>
      </c>
      <c r="R1040" s="11">
        <v>30.856121999999999</v>
      </c>
      <c r="S1040" s="11">
        <v>-87.117138999999995</v>
      </c>
      <c r="T1040" s="11" t="s">
        <v>12336</v>
      </c>
      <c r="U1040" s="11" t="s">
        <v>12337</v>
      </c>
      <c r="V1040" s="17" t="s">
        <v>12338</v>
      </c>
      <c r="W1040" s="17"/>
      <c r="X1040" s="70"/>
      <c r="Y1040" s="70"/>
      <c r="Z1040" s="13">
        <v>29165</v>
      </c>
      <c r="AA1040" s="13"/>
      <c r="AB1040" s="13"/>
      <c r="AC1040" s="13"/>
      <c r="AD1040" s="86"/>
      <c r="AE1040" s="70"/>
      <c r="AF1040" s="70" t="s">
        <v>207</v>
      </c>
      <c r="AG1040" s="14" t="s">
        <v>207</v>
      </c>
      <c r="AH1040" s="14" t="s">
        <v>207</v>
      </c>
      <c r="AI1040" s="70" t="s">
        <v>207</v>
      </c>
      <c r="AJ1040" s="14" t="s">
        <v>207</v>
      </c>
      <c r="AK1040" s="14" t="s">
        <v>207</v>
      </c>
      <c r="AL1040" s="14" t="s">
        <v>207</v>
      </c>
      <c r="AM1040" s="14" t="s">
        <v>207</v>
      </c>
      <c r="AN1040" s="14" t="s">
        <v>207</v>
      </c>
      <c r="AO1040" s="14" t="s">
        <v>207</v>
      </c>
      <c r="AP1040" s="14" t="s">
        <v>207</v>
      </c>
      <c r="AQ1040" s="14" t="s">
        <v>207</v>
      </c>
      <c r="AR1040" s="14" t="s">
        <v>207</v>
      </c>
      <c r="AS1040" s="14" t="s">
        <v>207</v>
      </c>
      <c r="AT1040" s="14" t="s">
        <v>207</v>
      </c>
      <c r="AU1040" s="30" t="s">
        <v>12339</v>
      </c>
      <c r="AV1040" s="14" t="s">
        <v>207</v>
      </c>
      <c r="AW1040" s="74"/>
      <c r="AX1040" s="1"/>
      <c r="AY1040" s="17" t="s">
        <v>101</v>
      </c>
    </row>
    <row r="1041" spans="1:51" ht="15" customHeight="1" x14ac:dyDescent="0.25">
      <c r="A1041" s="5">
        <v>993</v>
      </c>
      <c r="B1041" s="9">
        <v>993</v>
      </c>
      <c r="C1041" s="9" t="s">
        <v>12340</v>
      </c>
      <c r="D1041" s="57" t="str">
        <f>HYPERLINK("http://prodenv.dep.state.fl.us/DepNexus/public/electronic-documents/OG_993/facility!search","OG_993_Docs")</f>
        <v>OG_993_Docs</v>
      </c>
      <c r="E1041" s="57" t="str">
        <f>HYPERLINK("https://ca.dep.state.fl.us/mapdirect/?focus=oilandgas&amp;zoom=query&amp;querytype=oilandgas&amp;queryvalues=OG_993","OG_993_Map")</f>
        <v>OG_993_Map</v>
      </c>
      <c r="F1041" s="1" t="s">
        <v>265</v>
      </c>
      <c r="G1041" s="1" t="s">
        <v>79</v>
      </c>
      <c r="H1041" s="1" t="s">
        <v>12078</v>
      </c>
      <c r="I1041" s="1" t="s">
        <v>11481</v>
      </c>
      <c r="J1041" s="17" t="s">
        <v>207</v>
      </c>
      <c r="K1041" s="17" t="s">
        <v>208</v>
      </c>
      <c r="L1041" s="17"/>
      <c r="M1041" s="17" t="s">
        <v>207</v>
      </c>
      <c r="N1041" s="52" t="s">
        <v>207</v>
      </c>
      <c r="O1041" s="17" t="s">
        <v>86</v>
      </c>
      <c r="P1041" s="17" t="s">
        <v>86</v>
      </c>
      <c r="Q1041" s="81" t="s">
        <v>11482</v>
      </c>
      <c r="R1041" s="11">
        <v>26.442938000000002</v>
      </c>
      <c r="S1041" s="11">
        <v>-81.446922000000001</v>
      </c>
      <c r="T1041" s="11" t="s">
        <v>11483</v>
      </c>
      <c r="U1041" s="11" t="s">
        <v>11484</v>
      </c>
      <c r="V1041" s="17" t="s">
        <v>11485</v>
      </c>
      <c r="W1041" s="17"/>
      <c r="X1041" s="70"/>
      <c r="Y1041" s="70"/>
      <c r="Z1041" s="13">
        <v>29165</v>
      </c>
      <c r="AA1041" s="13"/>
      <c r="AB1041" s="13"/>
      <c r="AC1041" s="13"/>
      <c r="AD1041" s="86"/>
      <c r="AE1041" s="70"/>
      <c r="AF1041" s="70" t="s">
        <v>207</v>
      </c>
      <c r="AG1041" s="14" t="s">
        <v>207</v>
      </c>
      <c r="AH1041" s="14" t="s">
        <v>207</v>
      </c>
      <c r="AI1041" s="70" t="s">
        <v>207</v>
      </c>
      <c r="AJ1041" s="14" t="s">
        <v>207</v>
      </c>
      <c r="AK1041" s="14" t="s">
        <v>207</v>
      </c>
      <c r="AL1041" s="14" t="s">
        <v>207</v>
      </c>
      <c r="AM1041" s="14" t="s">
        <v>207</v>
      </c>
      <c r="AN1041" s="14" t="s">
        <v>207</v>
      </c>
      <c r="AO1041" s="14" t="s">
        <v>207</v>
      </c>
      <c r="AP1041" s="14" t="s">
        <v>207</v>
      </c>
      <c r="AQ1041" s="14" t="s">
        <v>207</v>
      </c>
      <c r="AR1041" s="14" t="s">
        <v>207</v>
      </c>
      <c r="AS1041" s="14" t="s">
        <v>207</v>
      </c>
      <c r="AT1041" s="14" t="s">
        <v>207</v>
      </c>
      <c r="AU1041" s="30" t="s">
        <v>12341</v>
      </c>
      <c r="AV1041" s="14" t="s">
        <v>207</v>
      </c>
      <c r="AW1041" s="74"/>
      <c r="AX1041" s="1"/>
      <c r="AY1041" s="17" t="s">
        <v>101</v>
      </c>
    </row>
    <row r="1042" spans="1:51" ht="12.75" customHeight="1" x14ac:dyDescent="0.25">
      <c r="A1042" s="5">
        <v>994</v>
      </c>
      <c r="B1042" s="9">
        <v>994</v>
      </c>
      <c r="C1042" s="9" t="s">
        <v>12342</v>
      </c>
      <c r="D1042" s="57" t="str">
        <f>HYPERLINK("http://prodenv.dep.state.fl.us/DepNexus/public/electronic-documents/OG_994/facility!search","OG_994_Docs")</f>
        <v>OG_994_Docs</v>
      </c>
      <c r="E1042" s="57" t="str">
        <f>HYPERLINK("https://ca.dep.state.fl.us/mapdirect/?focus=oilandgas&amp;zoom=query&amp;querytype=oilandgas&amp;queryvalues=OG_994","OG_994_Map")</f>
        <v>OG_994_Map</v>
      </c>
      <c r="F1042" s="1" t="s">
        <v>1752</v>
      </c>
      <c r="G1042" s="1" t="s">
        <v>4496</v>
      </c>
      <c r="H1042" s="1" t="s">
        <v>5029</v>
      </c>
      <c r="I1042" s="1" t="s">
        <v>12343</v>
      </c>
      <c r="J1042" s="17" t="s">
        <v>268</v>
      </c>
      <c r="K1042" s="17" t="s">
        <v>412</v>
      </c>
      <c r="L1042" s="17"/>
      <c r="M1042" s="17"/>
      <c r="N1042" s="52" t="s">
        <v>6529</v>
      </c>
      <c r="O1042" s="17" t="s">
        <v>86</v>
      </c>
      <c r="P1042" s="17" t="s">
        <v>86</v>
      </c>
      <c r="Q1042" s="81" t="s">
        <v>4822</v>
      </c>
      <c r="R1042" s="11">
        <v>26.533664000000002</v>
      </c>
      <c r="S1042" s="11">
        <v>-81.528936999999999</v>
      </c>
      <c r="T1042" s="11" t="s">
        <v>12344</v>
      </c>
      <c r="U1042" s="11" t="s">
        <v>12345</v>
      </c>
      <c r="V1042" s="17" t="s">
        <v>12346</v>
      </c>
      <c r="W1042" s="17"/>
      <c r="X1042" s="70">
        <v>47</v>
      </c>
      <c r="Y1042" s="70">
        <v>31</v>
      </c>
      <c r="Z1042" s="13">
        <v>29179</v>
      </c>
      <c r="AA1042" s="13">
        <v>29180</v>
      </c>
      <c r="AB1042" s="13">
        <v>29243</v>
      </c>
      <c r="AC1042" s="13">
        <v>35254</v>
      </c>
      <c r="AD1042" s="86">
        <v>11560</v>
      </c>
      <c r="AE1042" s="86">
        <v>11560</v>
      </c>
      <c r="AF1042" s="70" t="s">
        <v>7888</v>
      </c>
      <c r="AG1042" s="17" t="s">
        <v>12347</v>
      </c>
      <c r="AH1042" s="17" t="s">
        <v>12348</v>
      </c>
      <c r="AI1042" s="70" t="s">
        <v>12349</v>
      </c>
      <c r="AJ1042" s="17" t="s">
        <v>12350</v>
      </c>
      <c r="AK1042" s="17" t="s">
        <v>94</v>
      </c>
      <c r="AL1042" s="17" t="s">
        <v>12351</v>
      </c>
      <c r="AM1042" s="17" t="s">
        <v>825</v>
      </c>
      <c r="AN1042" s="17" t="s">
        <v>86</v>
      </c>
      <c r="AO1042" s="17" t="s">
        <v>12352</v>
      </c>
      <c r="AP1042" s="17" t="s">
        <v>12353</v>
      </c>
      <c r="AQ1042" s="17" t="s">
        <v>12354</v>
      </c>
      <c r="AR1042" s="17" t="s">
        <v>12355</v>
      </c>
      <c r="AS1042" s="17" t="s">
        <v>12356</v>
      </c>
      <c r="AT1042" s="17"/>
      <c r="AU1042" s="30" t="s">
        <v>12357</v>
      </c>
      <c r="AV1042" s="14">
        <v>14516</v>
      </c>
      <c r="AW1042" s="74"/>
      <c r="AX1042" s="1"/>
      <c r="AY1042" s="17" t="s">
        <v>101</v>
      </c>
    </row>
    <row r="1043" spans="1:51" ht="12.75" customHeight="1" x14ac:dyDescent="0.25">
      <c r="A1043" s="5">
        <v>995</v>
      </c>
      <c r="B1043" s="9">
        <v>995</v>
      </c>
      <c r="C1043" s="9" t="s">
        <v>12358</v>
      </c>
      <c r="D1043" s="57" t="str">
        <f>HYPERLINK("http://prodenv.dep.state.fl.us/DepNexus/public/electronic-documents/OG_995/facility!search","OG_995_Docs")</f>
        <v>OG_995_Docs</v>
      </c>
      <c r="E1043" s="57" t="str">
        <f>HYPERLINK("https://ca.dep.state.fl.us/mapdirect/?focus=oilandgas&amp;zoom=query&amp;querytype=oilandgas&amp;queryvalues=OG_995","OG_995_Map")</f>
        <v>OG_995_Map</v>
      </c>
      <c r="F1043" s="1" t="s">
        <v>1797</v>
      </c>
      <c r="G1043" s="1" t="s">
        <v>5133</v>
      </c>
      <c r="H1043" s="1" t="s">
        <v>1363</v>
      </c>
      <c r="I1043" s="1" t="s">
        <v>12359</v>
      </c>
      <c r="J1043" s="17" t="s">
        <v>3646</v>
      </c>
      <c r="K1043" s="17" t="s">
        <v>412</v>
      </c>
      <c r="L1043" s="17"/>
      <c r="M1043" s="17"/>
      <c r="N1043" s="52" t="s">
        <v>11172</v>
      </c>
      <c r="O1043" s="17" t="s">
        <v>86</v>
      </c>
      <c r="P1043" s="17" t="s">
        <v>86</v>
      </c>
      <c r="Q1043" s="81" t="s">
        <v>3661</v>
      </c>
      <c r="R1043" s="11">
        <v>30.941604000000002</v>
      </c>
      <c r="S1043" s="11">
        <v>-87.140843000000004</v>
      </c>
      <c r="T1043" s="11" t="s">
        <v>12360</v>
      </c>
      <c r="U1043" s="11" t="s">
        <v>12361</v>
      </c>
      <c r="V1043" s="17" t="s">
        <v>12362</v>
      </c>
      <c r="W1043" s="17"/>
      <c r="X1043" s="70">
        <v>281.89999999999998</v>
      </c>
      <c r="Y1043" s="70">
        <v>251.8</v>
      </c>
      <c r="Z1043" s="13">
        <v>29228</v>
      </c>
      <c r="AA1043" s="13">
        <v>29471</v>
      </c>
      <c r="AB1043" s="13">
        <v>29541</v>
      </c>
      <c r="AC1043" s="13"/>
      <c r="AD1043" s="86">
        <v>15798</v>
      </c>
      <c r="AE1043" s="70">
        <v>15799</v>
      </c>
      <c r="AF1043" s="70" t="s">
        <v>10305</v>
      </c>
      <c r="AG1043" s="17" t="s">
        <v>12363</v>
      </c>
      <c r="AH1043" s="17" t="s">
        <v>94</v>
      </c>
      <c r="AI1043" s="70" t="s">
        <v>12364</v>
      </c>
      <c r="AJ1043" s="17" t="s">
        <v>12365</v>
      </c>
      <c r="AK1043" s="17" t="s">
        <v>825</v>
      </c>
      <c r="AL1043" s="17" t="s">
        <v>95</v>
      </c>
      <c r="AM1043" s="17" t="s">
        <v>95</v>
      </c>
      <c r="AN1043" s="17"/>
      <c r="AO1043" s="17" t="s">
        <v>12366</v>
      </c>
      <c r="AP1043" s="17" t="s">
        <v>12367</v>
      </c>
      <c r="AQ1043" s="17" t="s">
        <v>12368</v>
      </c>
      <c r="AR1043" s="17" t="s">
        <v>12369</v>
      </c>
      <c r="AS1043" s="17"/>
      <c r="AT1043" s="17"/>
      <c r="AU1043" s="30" t="s">
        <v>12370</v>
      </c>
      <c r="AV1043" s="14">
        <v>14761</v>
      </c>
      <c r="AW1043" s="74">
        <v>309903</v>
      </c>
      <c r="AX1043" s="1"/>
      <c r="AY1043" s="17" t="s">
        <v>101</v>
      </c>
    </row>
    <row r="1044" spans="1:51" ht="15" customHeight="1" x14ac:dyDescent="0.25">
      <c r="A1044" s="5">
        <v>996</v>
      </c>
      <c r="B1044" s="9">
        <v>996</v>
      </c>
      <c r="C1044" s="9" t="s">
        <v>12371</v>
      </c>
      <c r="D1044" s="57" t="str">
        <f>HYPERLINK("http://prodenv.dep.state.fl.us/DepNexus/public/electronic-documents/OG_996/facility!search","OG_996_Docs")</f>
        <v>OG_996_Docs</v>
      </c>
      <c r="E1044" s="57" t="str">
        <f>HYPERLINK("https://ca.dep.state.fl.us/mapdirect/?focus=oilandgas&amp;zoom=query&amp;querytype=oilandgas&amp;queryvalues=OG_996","OG_996_Map")</f>
        <v>OG_996_Map</v>
      </c>
      <c r="F1044" s="1" t="s">
        <v>1752</v>
      </c>
      <c r="G1044" s="1" t="s">
        <v>4496</v>
      </c>
      <c r="H1044" s="1" t="s">
        <v>3669</v>
      </c>
      <c r="I1044" s="1" t="s">
        <v>12372</v>
      </c>
      <c r="J1044" s="17" t="s">
        <v>268</v>
      </c>
      <c r="K1044" s="17" t="s">
        <v>412</v>
      </c>
      <c r="L1044" s="17"/>
      <c r="M1044" s="17"/>
      <c r="N1044" s="52" t="s">
        <v>6529</v>
      </c>
      <c r="O1044" s="17" t="s">
        <v>86</v>
      </c>
      <c r="P1044" s="17" t="s">
        <v>86</v>
      </c>
      <c r="Q1044" s="81" t="s">
        <v>5068</v>
      </c>
      <c r="R1044" s="11">
        <v>26.529714999999999</v>
      </c>
      <c r="S1044" s="11">
        <v>-81.537070999999997</v>
      </c>
      <c r="T1044" s="11" t="s">
        <v>12373</v>
      </c>
      <c r="U1044" s="11" t="s">
        <v>12374</v>
      </c>
      <c r="V1044" s="17" t="s">
        <v>12375</v>
      </c>
      <c r="W1044" s="17" t="s">
        <v>110</v>
      </c>
      <c r="X1044" s="70">
        <v>47</v>
      </c>
      <c r="Y1044" s="70">
        <v>31</v>
      </c>
      <c r="Z1044" s="13">
        <v>29228</v>
      </c>
      <c r="AA1044" s="13">
        <v>29228</v>
      </c>
      <c r="AB1044" s="13">
        <v>29274</v>
      </c>
      <c r="AC1044" s="13">
        <v>33445</v>
      </c>
      <c r="AD1044" s="86">
        <v>11565</v>
      </c>
      <c r="AE1044" s="86">
        <v>11565</v>
      </c>
      <c r="AF1044" s="70" t="s">
        <v>12376</v>
      </c>
      <c r="AG1044" s="17" t="s">
        <v>12377</v>
      </c>
      <c r="AH1044" s="17" t="s">
        <v>12378</v>
      </c>
      <c r="AI1044" s="70" t="s">
        <v>12379</v>
      </c>
      <c r="AJ1044" s="17" t="s">
        <v>12380</v>
      </c>
      <c r="AK1044" s="17" t="s">
        <v>825</v>
      </c>
      <c r="AL1044" s="17" t="s">
        <v>12381</v>
      </c>
      <c r="AM1044" s="17" t="s">
        <v>95</v>
      </c>
      <c r="AN1044" s="17" t="s">
        <v>94</v>
      </c>
      <c r="AO1044" s="17" t="s">
        <v>12382</v>
      </c>
      <c r="AP1044" s="17" t="s">
        <v>4476</v>
      </c>
      <c r="AQ1044" s="17" t="s">
        <v>12383</v>
      </c>
      <c r="AR1044" s="17" t="s">
        <v>12384</v>
      </c>
      <c r="AS1044" s="17" t="s">
        <v>12385</v>
      </c>
      <c r="AT1044" s="17"/>
      <c r="AU1044" s="30" t="s">
        <v>12386</v>
      </c>
      <c r="AV1044" s="14">
        <v>14645</v>
      </c>
      <c r="AW1044" s="74"/>
      <c r="AX1044" s="1"/>
      <c r="AY1044" s="17" t="s">
        <v>101</v>
      </c>
    </row>
    <row r="1045" spans="1:51" ht="15" customHeight="1" x14ac:dyDescent="0.25">
      <c r="A1045" s="5">
        <v>997</v>
      </c>
      <c r="B1045" s="9">
        <v>997</v>
      </c>
      <c r="C1045" s="9" t="s">
        <v>12387</v>
      </c>
      <c r="D1045" s="57" t="str">
        <f>HYPERLINK("http://prodenv.dep.state.fl.us/DepNexus/public/electronic-documents/OG_997/facility!search","OG_997_Docs")</f>
        <v>OG_997_Docs</v>
      </c>
      <c r="E1045" s="57" t="str">
        <f>HYPERLINK("https://ca.dep.state.fl.us/mapdirect/?focus=oilandgas&amp;zoom=query&amp;querytype=oilandgas&amp;queryvalues=OG_997","OG_997_Map")</f>
        <v>OG_997_Map</v>
      </c>
      <c r="F1045" s="1" t="s">
        <v>265</v>
      </c>
      <c r="G1045" s="1" t="s">
        <v>10452</v>
      </c>
      <c r="H1045" s="1" t="s">
        <v>8318</v>
      </c>
      <c r="I1045" s="1" t="s">
        <v>12388</v>
      </c>
      <c r="J1045" s="17" t="s">
        <v>268</v>
      </c>
      <c r="K1045" s="17" t="s">
        <v>2105</v>
      </c>
      <c r="L1045" s="17"/>
      <c r="M1045" s="17" t="s">
        <v>101</v>
      </c>
      <c r="N1045" s="52" t="s">
        <v>12389</v>
      </c>
      <c r="O1045" s="17" t="s">
        <v>270</v>
      </c>
      <c r="P1045" s="17" t="s">
        <v>3395</v>
      </c>
      <c r="Q1045" s="81" t="s">
        <v>12390</v>
      </c>
      <c r="R1045" s="11">
        <v>25.978455</v>
      </c>
      <c r="S1045" s="11">
        <v>-80.903747999999993</v>
      </c>
      <c r="T1045" s="11" t="s">
        <v>12391</v>
      </c>
      <c r="U1045" s="11" t="s">
        <v>12392</v>
      </c>
      <c r="V1045" s="17" t="s">
        <v>12393</v>
      </c>
      <c r="W1045" s="17" t="s">
        <v>12394</v>
      </c>
      <c r="X1045" s="70">
        <v>34</v>
      </c>
      <c r="Y1045" s="70">
        <v>11</v>
      </c>
      <c r="Z1045" s="13">
        <v>29228</v>
      </c>
      <c r="AA1045" s="13">
        <v>29935</v>
      </c>
      <c r="AB1045" s="13">
        <v>30081</v>
      </c>
      <c r="AC1045" s="13">
        <v>36648</v>
      </c>
      <c r="AD1045" s="86">
        <v>11661</v>
      </c>
      <c r="AE1045" s="86">
        <v>11805</v>
      </c>
      <c r="AF1045" s="70" t="s">
        <v>12395</v>
      </c>
      <c r="AG1045" s="17" t="s">
        <v>12396</v>
      </c>
      <c r="AH1045" s="17" t="s">
        <v>12397</v>
      </c>
      <c r="AI1045" s="70" t="s">
        <v>12398</v>
      </c>
      <c r="AJ1045" s="17" t="s">
        <v>12399</v>
      </c>
      <c r="AK1045" s="17" t="s">
        <v>95</v>
      </c>
      <c r="AL1045" s="17" t="s">
        <v>12400</v>
      </c>
      <c r="AM1045" s="17" t="s">
        <v>825</v>
      </c>
      <c r="AN1045" s="17" t="s">
        <v>94</v>
      </c>
      <c r="AO1045" s="17" t="s">
        <v>12401</v>
      </c>
      <c r="AP1045" s="17" t="s">
        <v>5061</v>
      </c>
      <c r="AQ1045" s="17" t="s">
        <v>12402</v>
      </c>
      <c r="AR1045" s="17" t="s">
        <v>12403</v>
      </c>
      <c r="AS1045" s="17" t="s">
        <v>12404</v>
      </c>
      <c r="AT1045" s="17">
        <v>173</v>
      </c>
      <c r="AU1045" s="30" t="s">
        <v>12405</v>
      </c>
      <c r="AV1045" s="14">
        <v>15124</v>
      </c>
      <c r="AW1045" s="74"/>
      <c r="AX1045" s="1"/>
      <c r="AY1045" s="17" t="s">
        <v>101</v>
      </c>
    </row>
    <row r="1046" spans="1:51" ht="15" customHeight="1" x14ac:dyDescent="0.25">
      <c r="A1046" s="5">
        <v>998</v>
      </c>
      <c r="B1046" s="9">
        <v>998</v>
      </c>
      <c r="C1046" s="9" t="s">
        <v>12406</v>
      </c>
      <c r="D1046" s="57" t="str">
        <f>HYPERLINK("http://prodenv.dep.state.fl.us/DepNexus/public/electronic-documents/OG_998/facility!search","OG_998_Docs")</f>
        <v>OG_998_Docs</v>
      </c>
      <c r="E1046" s="57" t="str">
        <f>HYPERLINK("https://ca.dep.state.fl.us/mapdirect/?focus=oilandgas&amp;zoom=query&amp;querytype=oilandgas&amp;queryvalues=OG_998","OG_998_Map")</f>
        <v>OG_998_Map</v>
      </c>
      <c r="F1046" s="1" t="s">
        <v>265</v>
      </c>
      <c r="G1046" s="1" t="s">
        <v>10452</v>
      </c>
      <c r="H1046" s="1" t="s">
        <v>8318</v>
      </c>
      <c r="I1046" s="1" t="s">
        <v>12407</v>
      </c>
      <c r="J1046" s="17" t="s">
        <v>1365</v>
      </c>
      <c r="K1046" s="17" t="s">
        <v>412</v>
      </c>
      <c r="L1046" s="17"/>
      <c r="M1046" s="17" t="s">
        <v>101</v>
      </c>
      <c r="N1046" s="52" t="s">
        <v>6529</v>
      </c>
      <c r="O1046" s="17" t="s">
        <v>270</v>
      </c>
      <c r="P1046" s="17" t="s">
        <v>3395</v>
      </c>
      <c r="Q1046" s="81" t="s">
        <v>12408</v>
      </c>
      <c r="R1046" s="11">
        <v>25.978861999999999</v>
      </c>
      <c r="S1046" s="11">
        <v>-80.903713999999994</v>
      </c>
      <c r="T1046" s="11" t="s">
        <v>12409</v>
      </c>
      <c r="U1046" s="11" t="s">
        <v>12410</v>
      </c>
      <c r="V1046" s="17" t="s">
        <v>12411</v>
      </c>
      <c r="W1046" s="17" t="s">
        <v>12412</v>
      </c>
      <c r="X1046" s="70"/>
      <c r="Y1046" s="70">
        <v>11.6</v>
      </c>
      <c r="Z1046" s="13">
        <v>29228</v>
      </c>
      <c r="AA1046" s="13">
        <v>29644</v>
      </c>
      <c r="AB1046" s="13"/>
      <c r="AC1046" s="13">
        <v>38737</v>
      </c>
      <c r="AD1046" s="86">
        <v>11428</v>
      </c>
      <c r="AE1046" s="86">
        <v>12758</v>
      </c>
      <c r="AF1046" s="70" t="s">
        <v>12413</v>
      </c>
      <c r="AG1046" s="17" t="s">
        <v>12414</v>
      </c>
      <c r="AH1046" s="17" t="s">
        <v>12415</v>
      </c>
      <c r="AI1046" s="70" t="s">
        <v>12416</v>
      </c>
      <c r="AJ1046" s="17" t="s">
        <v>12417</v>
      </c>
      <c r="AK1046" s="17" t="s">
        <v>95</v>
      </c>
      <c r="AL1046" s="17" t="s">
        <v>12418</v>
      </c>
      <c r="AM1046" s="17" t="s">
        <v>95</v>
      </c>
      <c r="AN1046" s="17"/>
      <c r="AO1046" s="17"/>
      <c r="AP1046" s="17"/>
      <c r="AQ1046" s="17"/>
      <c r="AR1046" s="17" t="s">
        <v>12419</v>
      </c>
      <c r="AS1046" s="17" t="s">
        <v>12420</v>
      </c>
      <c r="AT1046" s="17"/>
      <c r="AU1046" s="30" t="s">
        <v>12421</v>
      </c>
      <c r="AV1046" s="14">
        <v>14961</v>
      </c>
      <c r="AW1046" s="74"/>
      <c r="AX1046" s="1"/>
      <c r="AY1046" s="17" t="s">
        <v>101</v>
      </c>
    </row>
    <row r="1047" spans="1:51" ht="15" customHeight="1" x14ac:dyDescent="0.25">
      <c r="A1047" s="5">
        <v>998.1</v>
      </c>
      <c r="B1047" s="9" t="s">
        <v>12422</v>
      </c>
      <c r="C1047" s="9" t="s">
        <v>12406</v>
      </c>
      <c r="D1047" s="57" t="str">
        <f>HYPERLINK("http://prodenv.dep.state.fl.us/DepNexus/public/electronic-documents/OG_998/facility!search","OG_998_Docs")</f>
        <v>OG_998_Docs</v>
      </c>
      <c r="E1047" s="57" t="str">
        <f>HYPERLINK("https://ca.dep.state.fl.us/mapdirect/?focus=oilandgas&amp;zoom=query&amp;querytype=oilandgas&amp;queryvalues=OG_998","OG_998_Map")</f>
        <v>OG_998_Map</v>
      </c>
      <c r="F1047" s="1" t="s">
        <v>265</v>
      </c>
      <c r="G1047" s="1" t="s">
        <v>10452</v>
      </c>
      <c r="H1047" s="1" t="s">
        <v>1363</v>
      </c>
      <c r="I1047" s="1" t="s">
        <v>12423</v>
      </c>
      <c r="J1047" s="17" t="s">
        <v>1365</v>
      </c>
      <c r="K1047" s="17" t="s">
        <v>1365</v>
      </c>
      <c r="L1047" s="17"/>
      <c r="M1047" s="17"/>
      <c r="N1047" s="52"/>
      <c r="O1047" s="17" t="s">
        <v>270</v>
      </c>
      <c r="P1047" s="17" t="s">
        <v>3395</v>
      </c>
      <c r="Q1047" s="81" t="s">
        <v>12408</v>
      </c>
      <c r="R1047" s="11">
        <v>25.978861999999999</v>
      </c>
      <c r="S1047" s="11">
        <v>-80.903713999999994</v>
      </c>
      <c r="T1047" s="11" t="s">
        <v>12409</v>
      </c>
      <c r="U1047" s="11" t="s">
        <v>12410</v>
      </c>
      <c r="V1047" s="17" t="s">
        <v>12411</v>
      </c>
      <c r="W1047" s="17" t="s">
        <v>110</v>
      </c>
      <c r="X1047" s="70"/>
      <c r="Y1047" s="70">
        <v>11.6</v>
      </c>
      <c r="Z1047" s="13">
        <v>39255</v>
      </c>
      <c r="AA1047" s="13">
        <v>39743</v>
      </c>
      <c r="AB1047" s="13">
        <v>39007</v>
      </c>
      <c r="AC1047" s="13"/>
      <c r="AD1047" s="86">
        <v>3677</v>
      </c>
      <c r="AE1047" s="86">
        <v>3677</v>
      </c>
      <c r="AF1047" s="70" t="s">
        <v>12413</v>
      </c>
      <c r="AG1047" s="17" t="s">
        <v>12414</v>
      </c>
      <c r="AH1047" s="17" t="s">
        <v>12424</v>
      </c>
      <c r="AI1047" s="70" t="s">
        <v>12425</v>
      </c>
      <c r="AJ1047" s="17" t="s">
        <v>12426</v>
      </c>
      <c r="AK1047" s="17" t="s">
        <v>94</v>
      </c>
      <c r="AL1047" s="17" t="s">
        <v>94</v>
      </c>
      <c r="AM1047" s="17" t="s">
        <v>94</v>
      </c>
      <c r="AN1047" s="17" t="s">
        <v>94</v>
      </c>
      <c r="AO1047" s="17" t="s">
        <v>94</v>
      </c>
      <c r="AP1047" s="17" t="s">
        <v>94</v>
      </c>
      <c r="AQ1047" s="17" t="s">
        <v>94</v>
      </c>
      <c r="AR1047" s="17" t="s">
        <v>12427</v>
      </c>
      <c r="AS1047" s="17"/>
      <c r="AT1047" s="17"/>
      <c r="AU1047" s="30" t="s">
        <v>12428</v>
      </c>
      <c r="AV1047" s="14" t="s">
        <v>94</v>
      </c>
      <c r="AW1047" s="74">
        <v>303534</v>
      </c>
      <c r="AX1047" s="1" t="s">
        <v>12429</v>
      </c>
      <c r="AY1047" s="17" t="s">
        <v>101</v>
      </c>
    </row>
    <row r="1048" spans="1:51" ht="15" customHeight="1" x14ac:dyDescent="0.25">
      <c r="A1048" s="5">
        <v>999</v>
      </c>
      <c r="B1048" s="9">
        <v>999</v>
      </c>
      <c r="C1048" s="9" t="s">
        <v>12430</v>
      </c>
      <c r="D1048" s="57" t="str">
        <f>HYPERLINK("http://prodenv.dep.state.fl.us/DepNexus/public/electronic-documents/OG_999/facility!search","OG_999_Docs")</f>
        <v>OG_999_Docs</v>
      </c>
      <c r="E1048" s="57" t="str">
        <f>HYPERLINK("https://ca.dep.state.fl.us/mapdirect/?focus=oilandgas&amp;zoom=query&amp;querytype=oilandgas&amp;queryvalues=OG_999","OG_999_Map")</f>
        <v>OG_999_Map</v>
      </c>
      <c r="F1048" s="1" t="s">
        <v>265</v>
      </c>
      <c r="G1048" s="1" t="s">
        <v>79</v>
      </c>
      <c r="H1048" s="1" t="s">
        <v>12431</v>
      </c>
      <c r="I1048" s="1" t="s">
        <v>12432</v>
      </c>
      <c r="J1048" s="17" t="s">
        <v>207</v>
      </c>
      <c r="K1048" s="17" t="s">
        <v>208</v>
      </c>
      <c r="L1048" s="17"/>
      <c r="M1048" s="17" t="s">
        <v>207</v>
      </c>
      <c r="N1048" s="52" t="s">
        <v>207</v>
      </c>
      <c r="O1048" s="17" t="s">
        <v>270</v>
      </c>
      <c r="P1048" s="17" t="s">
        <v>86</v>
      </c>
      <c r="Q1048" s="81" t="s">
        <v>12433</v>
      </c>
      <c r="R1048" s="11">
        <v>26.244530999999998</v>
      </c>
      <c r="S1048" s="11">
        <v>-81.068679000000003</v>
      </c>
      <c r="T1048" s="11" t="s">
        <v>12434</v>
      </c>
      <c r="U1048" s="11" t="s">
        <v>12435</v>
      </c>
      <c r="V1048" s="17" t="s">
        <v>12436</v>
      </c>
      <c r="W1048" s="17" t="s">
        <v>110</v>
      </c>
      <c r="X1048" s="70"/>
      <c r="Y1048" s="70"/>
      <c r="Z1048" s="13">
        <v>29242</v>
      </c>
      <c r="AA1048" s="13"/>
      <c r="AB1048" s="13"/>
      <c r="AC1048" s="13"/>
      <c r="AD1048" s="86"/>
      <c r="AE1048" s="70"/>
      <c r="AF1048" s="70" t="s">
        <v>207</v>
      </c>
      <c r="AG1048" s="14" t="s">
        <v>207</v>
      </c>
      <c r="AH1048" s="14" t="s">
        <v>207</v>
      </c>
      <c r="AI1048" s="70" t="s">
        <v>207</v>
      </c>
      <c r="AJ1048" s="14" t="s">
        <v>207</v>
      </c>
      <c r="AK1048" s="14" t="s">
        <v>207</v>
      </c>
      <c r="AL1048" s="14" t="s">
        <v>207</v>
      </c>
      <c r="AM1048" s="14" t="s">
        <v>207</v>
      </c>
      <c r="AN1048" s="14" t="s">
        <v>207</v>
      </c>
      <c r="AO1048" s="14" t="s">
        <v>207</v>
      </c>
      <c r="AP1048" s="14" t="s">
        <v>207</v>
      </c>
      <c r="AQ1048" s="14" t="s">
        <v>207</v>
      </c>
      <c r="AR1048" s="14" t="s">
        <v>207</v>
      </c>
      <c r="AS1048" s="14" t="s">
        <v>207</v>
      </c>
      <c r="AT1048" s="14" t="s">
        <v>207</v>
      </c>
      <c r="AU1048" s="30" t="s">
        <v>12437</v>
      </c>
      <c r="AV1048" s="14" t="s">
        <v>207</v>
      </c>
      <c r="AW1048" s="74"/>
      <c r="AX1048" s="1"/>
      <c r="AY1048" s="17" t="s">
        <v>101</v>
      </c>
    </row>
    <row r="1049" spans="1:51" ht="12.75" customHeight="1" x14ac:dyDescent="0.25">
      <c r="A1049" s="5">
        <v>1000</v>
      </c>
      <c r="B1049" s="9">
        <v>1000</v>
      </c>
      <c r="C1049" s="9" t="s">
        <v>12438</v>
      </c>
      <c r="D1049" s="57" t="str">
        <f>HYPERLINK("http://prodenv.dep.state.fl.us/DepNexus/public/electronic-documents/OG_1000/facility!search","OG_1000_Docs")</f>
        <v>OG_1000_Docs</v>
      </c>
      <c r="E1049" s="57" t="str">
        <f>HYPERLINK("https://ca.dep.state.fl.us/mapdirect/?focus=oilandgas&amp;zoom=query&amp;querytype=oilandgas&amp;queryvalues=OG_1000","OG_1000_Map")</f>
        <v>OG_1000_Map</v>
      </c>
      <c r="F1049" s="1" t="s">
        <v>265</v>
      </c>
      <c r="G1049" s="1" t="s">
        <v>79</v>
      </c>
      <c r="H1049" s="1" t="s">
        <v>12431</v>
      </c>
      <c r="I1049" s="1" t="s">
        <v>12439</v>
      </c>
      <c r="J1049" s="17" t="s">
        <v>82</v>
      </c>
      <c r="K1049" s="17" t="s">
        <v>83</v>
      </c>
      <c r="L1049" s="17"/>
      <c r="M1049" s="17"/>
      <c r="N1049" s="52" t="s">
        <v>5949</v>
      </c>
      <c r="O1049" s="17" t="s">
        <v>270</v>
      </c>
      <c r="P1049" s="17" t="s">
        <v>86</v>
      </c>
      <c r="Q1049" s="81" t="s">
        <v>12440</v>
      </c>
      <c r="R1049" s="11">
        <v>26.243797000000001</v>
      </c>
      <c r="S1049" s="11">
        <v>-81.060869999999994</v>
      </c>
      <c r="T1049" s="11" t="s">
        <v>12441</v>
      </c>
      <c r="U1049" s="11" t="s">
        <v>12442</v>
      </c>
      <c r="V1049" s="17" t="s">
        <v>12443</v>
      </c>
      <c r="W1049" s="17" t="s">
        <v>110</v>
      </c>
      <c r="X1049" s="70">
        <v>37</v>
      </c>
      <c r="Y1049" s="70">
        <v>20</v>
      </c>
      <c r="Z1049" s="13">
        <v>29242</v>
      </c>
      <c r="AA1049" s="13">
        <v>29279</v>
      </c>
      <c r="AB1049" s="13"/>
      <c r="AC1049" s="13">
        <v>29326</v>
      </c>
      <c r="AD1049" s="86">
        <v>11673</v>
      </c>
      <c r="AE1049" s="86">
        <v>11673</v>
      </c>
      <c r="AF1049" s="70" t="s">
        <v>11318</v>
      </c>
      <c r="AG1049" s="17" t="s">
        <v>12444</v>
      </c>
      <c r="AH1049" s="17" t="s">
        <v>12445</v>
      </c>
      <c r="AI1049" s="70" t="s">
        <v>94</v>
      </c>
      <c r="AJ1049" s="17" t="s">
        <v>94</v>
      </c>
      <c r="AK1049" s="17" t="s">
        <v>825</v>
      </c>
      <c r="AL1049" s="17" t="s">
        <v>12446</v>
      </c>
      <c r="AM1049" s="17" t="s">
        <v>95</v>
      </c>
      <c r="AN1049" s="17" t="s">
        <v>94</v>
      </c>
      <c r="AO1049" s="17" t="s">
        <v>98</v>
      </c>
      <c r="AP1049" s="17" t="s">
        <v>98</v>
      </c>
      <c r="AQ1049" s="17" t="s">
        <v>98</v>
      </c>
      <c r="AR1049" s="17" t="s">
        <v>94</v>
      </c>
      <c r="AS1049" s="17" t="s">
        <v>12447</v>
      </c>
      <c r="AT1049" s="17"/>
      <c r="AU1049" s="30" t="s">
        <v>12448</v>
      </c>
      <c r="AV1049" s="14">
        <v>14595</v>
      </c>
      <c r="AW1049" s="74"/>
      <c r="AX1049" s="1"/>
      <c r="AY1049" s="17" t="s">
        <v>101</v>
      </c>
    </row>
    <row r="1050" spans="1:51" ht="12.75" customHeight="1" x14ac:dyDescent="0.25">
      <c r="A1050" s="5">
        <v>1001</v>
      </c>
      <c r="B1050" s="9">
        <v>1001</v>
      </c>
      <c r="C1050" s="9" t="s">
        <v>12449</v>
      </c>
      <c r="D1050" s="57" t="str">
        <f>HYPERLINK("http://prodenv.dep.state.fl.us/DepNexus/public/electronic-documents/OG_1001/facility!search","OG_1001_Docs")</f>
        <v>OG_1001_Docs</v>
      </c>
      <c r="E1050" s="57" t="str">
        <f>HYPERLINK("https://ca.dep.state.fl.us/mapdirect/?focus=oilandgas&amp;zoom=query&amp;querytype=oilandgas&amp;queryvalues=OG_1001","OG_1001_Map")</f>
        <v>OG_1001_Map</v>
      </c>
      <c r="F1050" s="1" t="s">
        <v>265</v>
      </c>
      <c r="G1050" s="1" t="s">
        <v>79</v>
      </c>
      <c r="H1050" s="1" t="s">
        <v>12149</v>
      </c>
      <c r="I1050" s="1" t="s">
        <v>12450</v>
      </c>
      <c r="J1050" s="17" t="s">
        <v>82</v>
      </c>
      <c r="K1050" s="17" t="s">
        <v>83</v>
      </c>
      <c r="L1050" s="17"/>
      <c r="M1050" s="17"/>
      <c r="N1050" s="52" t="s">
        <v>12451</v>
      </c>
      <c r="O1050" s="17" t="s">
        <v>86</v>
      </c>
      <c r="P1050" s="17" t="s">
        <v>86</v>
      </c>
      <c r="Q1050" s="81" t="s">
        <v>12452</v>
      </c>
      <c r="R1050" s="11">
        <v>26.432808000000001</v>
      </c>
      <c r="S1050" s="11">
        <v>-81.555300000000003</v>
      </c>
      <c r="T1050" s="11" t="s">
        <v>12453</v>
      </c>
      <c r="U1050" s="11" t="s">
        <v>12454</v>
      </c>
      <c r="V1050" s="17" t="s">
        <v>12455</v>
      </c>
      <c r="W1050" s="17" t="s">
        <v>110</v>
      </c>
      <c r="X1050" s="70">
        <v>38</v>
      </c>
      <c r="Y1050" s="70">
        <v>22</v>
      </c>
      <c r="Z1050" s="13">
        <v>29256</v>
      </c>
      <c r="AA1050" s="13">
        <v>29334</v>
      </c>
      <c r="AB1050" s="13"/>
      <c r="AC1050" s="13">
        <v>29383</v>
      </c>
      <c r="AD1050" s="86">
        <v>11884</v>
      </c>
      <c r="AE1050" s="86">
        <v>11884</v>
      </c>
      <c r="AF1050" s="70" t="s">
        <v>12150</v>
      </c>
      <c r="AG1050" s="17" t="s">
        <v>12456</v>
      </c>
      <c r="AH1050" s="17" t="s">
        <v>12457</v>
      </c>
      <c r="AI1050" s="70" t="s">
        <v>86</v>
      </c>
      <c r="AJ1050" s="17" t="s">
        <v>86</v>
      </c>
      <c r="AK1050" s="17" t="s">
        <v>95</v>
      </c>
      <c r="AL1050" s="17" t="s">
        <v>12458</v>
      </c>
      <c r="AM1050" s="17" t="s">
        <v>95</v>
      </c>
      <c r="AN1050" s="17" t="s">
        <v>86</v>
      </c>
      <c r="AO1050" s="17" t="s">
        <v>98</v>
      </c>
      <c r="AP1050" s="17" t="s">
        <v>98</v>
      </c>
      <c r="AQ1050" s="17" t="s">
        <v>98</v>
      </c>
      <c r="AR1050" s="17" t="s">
        <v>94</v>
      </c>
      <c r="AS1050" s="17" t="s">
        <v>12459</v>
      </c>
      <c r="AT1050" s="17">
        <v>117</v>
      </c>
      <c r="AU1050" s="30" t="s">
        <v>12460</v>
      </c>
      <c r="AV1050" s="14">
        <v>14626</v>
      </c>
      <c r="AW1050" s="74"/>
      <c r="AX1050" s="1" t="s">
        <v>12461</v>
      </c>
      <c r="AY1050" s="17" t="s">
        <v>101</v>
      </c>
    </row>
    <row r="1051" spans="1:51" ht="12.75" customHeight="1" x14ac:dyDescent="0.25">
      <c r="A1051" s="5">
        <v>1002</v>
      </c>
      <c r="B1051" s="9">
        <v>1002</v>
      </c>
      <c r="C1051" s="9" t="s">
        <v>12462</v>
      </c>
      <c r="D1051" s="57" t="str">
        <f>HYPERLINK("http://prodenv.dep.state.fl.us/DepNexus/public/electronic-documents/OG_1002/facility!search","OG_1002_Docs")</f>
        <v>OG_1002_Docs</v>
      </c>
      <c r="E1051" s="57" t="str">
        <f>HYPERLINK("https://ca.dep.state.fl.us/mapdirect/?focus=oilandgas&amp;zoom=query&amp;querytype=oilandgas&amp;queryvalues=OG_1002","OG_1002_Map")</f>
        <v>OG_1002_Map</v>
      </c>
      <c r="F1051" s="1" t="s">
        <v>1797</v>
      </c>
      <c r="G1051" s="1" t="s">
        <v>5133</v>
      </c>
      <c r="H1051" s="1" t="s">
        <v>1363</v>
      </c>
      <c r="I1051" s="1" t="s">
        <v>12463</v>
      </c>
      <c r="J1051" s="17" t="s">
        <v>5135</v>
      </c>
      <c r="K1051" s="17" t="s">
        <v>412</v>
      </c>
      <c r="L1051" s="17"/>
      <c r="M1051" s="17"/>
      <c r="N1051" s="52" t="s">
        <v>12464</v>
      </c>
      <c r="O1051" s="17" t="s">
        <v>86</v>
      </c>
      <c r="P1051" s="17" t="s">
        <v>86</v>
      </c>
      <c r="Q1051" s="81" t="s">
        <v>6896</v>
      </c>
      <c r="R1051" s="11">
        <v>30.951301000000001</v>
      </c>
      <c r="S1051" s="11">
        <v>-87.157749999999993</v>
      </c>
      <c r="T1051" s="11" t="s">
        <v>12465</v>
      </c>
      <c r="U1051" s="11" t="s">
        <v>12466</v>
      </c>
      <c r="V1051" s="17" t="s">
        <v>12467</v>
      </c>
      <c r="W1051" s="17" t="s">
        <v>12468</v>
      </c>
      <c r="X1051" s="70">
        <v>285</v>
      </c>
      <c r="Y1051" s="70">
        <v>262</v>
      </c>
      <c r="Z1051" s="13">
        <v>29256</v>
      </c>
      <c r="AA1051" s="13">
        <v>29396</v>
      </c>
      <c r="AB1051" s="13">
        <v>29505</v>
      </c>
      <c r="AC1051" s="13"/>
      <c r="AD1051" s="86">
        <v>15778</v>
      </c>
      <c r="AE1051" s="70">
        <v>16027</v>
      </c>
      <c r="AF1051" s="70" t="s">
        <v>3172</v>
      </c>
      <c r="AG1051" s="17" t="s">
        <v>12469</v>
      </c>
      <c r="AH1051" s="17" t="s">
        <v>12470</v>
      </c>
      <c r="AI1051" s="70" t="s">
        <v>12471</v>
      </c>
      <c r="AJ1051" s="17" t="s">
        <v>12472</v>
      </c>
      <c r="AK1051" s="17" t="s">
        <v>825</v>
      </c>
      <c r="AL1051" s="17" t="s">
        <v>12473</v>
      </c>
      <c r="AM1051" s="17" t="s">
        <v>825</v>
      </c>
      <c r="AN1051" s="17" t="s">
        <v>86</v>
      </c>
      <c r="AO1051" s="17" t="s">
        <v>12474</v>
      </c>
      <c r="AP1051" s="17" t="s">
        <v>12475</v>
      </c>
      <c r="AQ1051" s="17" t="s">
        <v>10995</v>
      </c>
      <c r="AR1051" s="17" t="s">
        <v>12476</v>
      </c>
      <c r="AS1051" s="17"/>
      <c r="AT1051" s="17">
        <v>256</v>
      </c>
      <c r="AU1051" s="30" t="s">
        <v>12477</v>
      </c>
      <c r="AV1051" s="14">
        <v>14759</v>
      </c>
      <c r="AW1051" s="74">
        <v>312062</v>
      </c>
      <c r="AX1051" s="1" t="s">
        <v>12478</v>
      </c>
      <c r="AY1051" s="17" t="s">
        <v>101</v>
      </c>
    </row>
    <row r="1052" spans="1:51" ht="12.75" customHeight="1" x14ac:dyDescent="0.25">
      <c r="A1052" s="5">
        <v>1003</v>
      </c>
      <c r="B1052" s="9">
        <v>1003</v>
      </c>
      <c r="C1052" s="9" t="s">
        <v>12479</v>
      </c>
      <c r="D1052" s="57" t="str">
        <f>HYPERLINK("http://prodenv.dep.state.fl.us/DepNexus/public/electronic-documents/OG_1003/facility!search","OG_1003_Docs")</f>
        <v>OG_1003_Docs</v>
      </c>
      <c r="E1052" s="57" t="str">
        <f>HYPERLINK("https://ca.dep.state.fl.us/mapdirect/?focus=oilandgas&amp;zoom=query&amp;querytype=oilandgas&amp;queryvalues=OG_1003","OG_1003_Map")</f>
        <v>OG_1003_Map</v>
      </c>
      <c r="F1052" s="1" t="s">
        <v>265</v>
      </c>
      <c r="G1052" s="1" t="s">
        <v>7239</v>
      </c>
      <c r="H1052" s="1" t="s">
        <v>8261</v>
      </c>
      <c r="I1052" s="1" t="s">
        <v>12480</v>
      </c>
      <c r="J1052" s="17" t="s">
        <v>268</v>
      </c>
      <c r="K1052" s="17" t="s">
        <v>6671</v>
      </c>
      <c r="L1052" s="17"/>
      <c r="M1052" s="17"/>
      <c r="N1052" s="52" t="s">
        <v>12481</v>
      </c>
      <c r="O1052" s="17" t="s">
        <v>270</v>
      </c>
      <c r="P1052" s="17" t="s">
        <v>86</v>
      </c>
      <c r="Q1052" s="81" t="s">
        <v>10520</v>
      </c>
      <c r="R1052" s="11">
        <v>26.257726000000002</v>
      </c>
      <c r="S1052" s="11">
        <v>-81.297146999999995</v>
      </c>
      <c r="T1052" s="11" t="s">
        <v>12482</v>
      </c>
      <c r="U1052" s="11" t="s">
        <v>12483</v>
      </c>
      <c r="V1052" s="17" t="s">
        <v>12484</v>
      </c>
      <c r="W1052" s="17" t="s">
        <v>12485</v>
      </c>
      <c r="X1052" s="70">
        <v>33</v>
      </c>
      <c r="Y1052" s="70">
        <v>18</v>
      </c>
      <c r="Z1052" s="13">
        <v>29273</v>
      </c>
      <c r="AA1052" s="13">
        <v>29348</v>
      </c>
      <c r="AB1052" s="13">
        <v>29593</v>
      </c>
      <c r="AC1052" s="13">
        <v>33498</v>
      </c>
      <c r="AD1052" s="86">
        <v>11604</v>
      </c>
      <c r="AE1052" s="70">
        <v>12734</v>
      </c>
      <c r="AF1052" s="70" t="s">
        <v>12486</v>
      </c>
      <c r="AG1052" s="17" t="s">
        <v>12487</v>
      </c>
      <c r="AH1052" s="17" t="s">
        <v>12488</v>
      </c>
      <c r="AI1052" s="70" t="s">
        <v>12489</v>
      </c>
      <c r="AJ1052" s="17" t="s">
        <v>12490</v>
      </c>
      <c r="AK1052" s="17" t="s">
        <v>825</v>
      </c>
      <c r="AL1052" s="17" t="s">
        <v>12491</v>
      </c>
      <c r="AM1052" s="17" t="s">
        <v>825</v>
      </c>
      <c r="AN1052" s="17" t="s">
        <v>86</v>
      </c>
      <c r="AO1052" s="17" t="s">
        <v>12492</v>
      </c>
      <c r="AP1052" s="17" t="s">
        <v>6135</v>
      </c>
      <c r="AQ1052" s="17" t="s">
        <v>12493</v>
      </c>
      <c r="AR1052" s="17" t="s">
        <v>12494</v>
      </c>
      <c r="AS1052" s="17" t="s">
        <v>12495</v>
      </c>
      <c r="AT1052" s="17" t="s">
        <v>94</v>
      </c>
      <c r="AU1052" s="30" t="s">
        <v>12496</v>
      </c>
      <c r="AV1052" s="14">
        <v>14760</v>
      </c>
      <c r="AW1052" s="74"/>
      <c r="AX1052" s="1"/>
      <c r="AY1052" s="17" t="s">
        <v>101</v>
      </c>
    </row>
    <row r="1053" spans="1:51" ht="15" customHeight="1" x14ac:dyDescent="0.25">
      <c r="A1053" s="5">
        <v>1004</v>
      </c>
      <c r="B1053" s="9">
        <v>1004</v>
      </c>
      <c r="C1053" s="9" t="s">
        <v>12497</v>
      </c>
      <c r="D1053" s="57" t="str">
        <f>HYPERLINK("http://prodenv.dep.state.fl.us/DepNexus/public/electronic-documents/OG_1004/facility!search","OG_1004_Docs")</f>
        <v>OG_1004_Docs</v>
      </c>
      <c r="E1053" s="57" t="str">
        <f>HYPERLINK("https://ca.dep.state.fl.us/mapdirect/?focus=oilandgas&amp;zoom=query&amp;querytype=oilandgas&amp;queryvalues=OG_1004","OG_1004_Map")</f>
        <v>OG_1004_Map</v>
      </c>
      <c r="F1053" s="1" t="s">
        <v>1797</v>
      </c>
      <c r="G1053" s="1" t="s">
        <v>5133</v>
      </c>
      <c r="H1053" s="1" t="s">
        <v>1363</v>
      </c>
      <c r="I1053" s="1" t="s">
        <v>12498</v>
      </c>
      <c r="J1053" s="17" t="s">
        <v>268</v>
      </c>
      <c r="K1053" s="17" t="s">
        <v>412</v>
      </c>
      <c r="L1053" s="17"/>
      <c r="M1053" s="17"/>
      <c r="N1053" s="52" t="s">
        <v>12499</v>
      </c>
      <c r="O1053" s="17" t="s">
        <v>86</v>
      </c>
      <c r="P1053" s="17" t="s">
        <v>86</v>
      </c>
      <c r="Q1053" s="81" t="s">
        <v>6617</v>
      </c>
      <c r="R1053" s="11">
        <v>30.959648999999999</v>
      </c>
      <c r="S1053" s="11">
        <v>-87.156057000000004</v>
      </c>
      <c r="T1053" s="11" t="s">
        <v>12500</v>
      </c>
      <c r="U1053" s="11" t="s">
        <v>12501</v>
      </c>
      <c r="V1053" s="17" t="s">
        <v>12502</v>
      </c>
      <c r="W1053" s="17" t="s">
        <v>110</v>
      </c>
      <c r="X1053" s="70">
        <v>285</v>
      </c>
      <c r="Y1053" s="70">
        <v>255</v>
      </c>
      <c r="Z1053" s="13">
        <v>29284</v>
      </c>
      <c r="AA1053" s="13">
        <v>29694</v>
      </c>
      <c r="AB1053" s="13">
        <v>29823</v>
      </c>
      <c r="AC1053" s="13"/>
      <c r="AD1053" s="86">
        <v>15786</v>
      </c>
      <c r="AE1053" s="86">
        <v>15786</v>
      </c>
      <c r="AF1053" s="70" t="s">
        <v>12503</v>
      </c>
      <c r="AG1053" s="17" t="s">
        <v>12504</v>
      </c>
      <c r="AH1053" s="17" t="s">
        <v>86</v>
      </c>
      <c r="AI1053" s="70" t="s">
        <v>12505</v>
      </c>
      <c r="AJ1053" s="17" t="s">
        <v>12506</v>
      </c>
      <c r="AK1053" s="17" t="s">
        <v>825</v>
      </c>
      <c r="AL1053" s="17" t="s">
        <v>12507</v>
      </c>
      <c r="AM1053" s="17" t="s">
        <v>825</v>
      </c>
      <c r="AN1053" s="17" t="s">
        <v>86</v>
      </c>
      <c r="AO1053" s="17" t="s">
        <v>6056</v>
      </c>
      <c r="AP1053" s="17" t="s">
        <v>12508</v>
      </c>
      <c r="AQ1053" s="17" t="s">
        <v>10995</v>
      </c>
      <c r="AR1053" s="17" t="s">
        <v>12509</v>
      </c>
      <c r="AS1053" s="17"/>
      <c r="AT1053" s="17">
        <v>258</v>
      </c>
      <c r="AU1053" s="30" t="s">
        <v>12510</v>
      </c>
      <c r="AV1053" s="14">
        <v>15015</v>
      </c>
      <c r="AW1053" s="74">
        <v>309904</v>
      </c>
      <c r="AX1053" s="1"/>
      <c r="AY1053" s="17" t="s">
        <v>101</v>
      </c>
    </row>
    <row r="1054" spans="1:51" ht="15" customHeight="1" x14ac:dyDescent="0.25">
      <c r="A1054" s="5">
        <v>1004.1</v>
      </c>
      <c r="B1054" s="9" t="s">
        <v>12511</v>
      </c>
      <c r="C1054" s="9" t="s">
        <v>12497</v>
      </c>
      <c r="D1054" s="57" t="str">
        <f>HYPERLINK("http://prodenv.dep.state.fl.us/DepNexus/public/electronic-documents/OG_1004/facility!search","OG_1004_Docs")</f>
        <v>OG_1004_Docs</v>
      </c>
      <c r="E1054" s="57" t="str">
        <f>HYPERLINK("https://ca.dep.state.fl.us/mapdirect/?focus=oilandgas&amp;zoom=query&amp;querytype=oilandgas&amp;queryvalues=OG_1004","OG_1004_Map")</f>
        <v>OG_1004_Map</v>
      </c>
      <c r="F1054" s="1" t="s">
        <v>1797</v>
      </c>
      <c r="G1054" s="1" t="s">
        <v>5133</v>
      </c>
      <c r="H1054" s="1" t="s">
        <v>1363</v>
      </c>
      <c r="I1054" s="1" t="s">
        <v>12512</v>
      </c>
      <c r="J1054" s="17" t="s">
        <v>207</v>
      </c>
      <c r="K1054" s="17" t="s">
        <v>207</v>
      </c>
      <c r="L1054" s="17"/>
      <c r="M1054" s="17" t="s">
        <v>207</v>
      </c>
      <c r="N1054" s="52" t="s">
        <v>207</v>
      </c>
      <c r="O1054" s="17" t="s">
        <v>86</v>
      </c>
      <c r="P1054" s="17" t="s">
        <v>86</v>
      </c>
      <c r="Q1054" s="81" t="s">
        <v>6617</v>
      </c>
      <c r="R1054" s="11">
        <v>30.959648999999999</v>
      </c>
      <c r="S1054" s="11">
        <v>-87.156057000000004</v>
      </c>
      <c r="T1054" s="11" t="s">
        <v>12500</v>
      </c>
      <c r="U1054" s="11" t="s">
        <v>12501</v>
      </c>
      <c r="V1054" s="17" t="s">
        <v>12502</v>
      </c>
      <c r="W1054" s="17"/>
      <c r="X1054" s="70"/>
      <c r="Y1054" s="70"/>
      <c r="Z1054" s="13">
        <v>39979</v>
      </c>
      <c r="AA1054" s="13"/>
      <c r="AB1054" s="13"/>
      <c r="AC1054" s="13"/>
      <c r="AD1054" s="86"/>
      <c r="AE1054" s="70"/>
      <c r="AF1054" s="70" t="s">
        <v>207</v>
      </c>
      <c r="AG1054" s="13" t="s">
        <v>207</v>
      </c>
      <c r="AH1054" s="13" t="s">
        <v>207</v>
      </c>
      <c r="AI1054" s="70" t="s">
        <v>207</v>
      </c>
      <c r="AJ1054" s="13" t="s">
        <v>207</v>
      </c>
      <c r="AK1054" s="13" t="s">
        <v>207</v>
      </c>
      <c r="AL1054" s="13" t="s">
        <v>207</v>
      </c>
      <c r="AM1054" s="13" t="s">
        <v>207</v>
      </c>
      <c r="AN1054" s="13" t="s">
        <v>207</v>
      </c>
      <c r="AO1054" s="13" t="s">
        <v>207</v>
      </c>
      <c r="AP1054" s="13" t="s">
        <v>207</v>
      </c>
      <c r="AQ1054" s="13" t="s">
        <v>207</v>
      </c>
      <c r="AR1054" s="13" t="s">
        <v>207</v>
      </c>
      <c r="AS1054" s="13" t="s">
        <v>207</v>
      </c>
      <c r="AT1054" s="13" t="s">
        <v>207</v>
      </c>
      <c r="AV1054" s="14" t="s">
        <v>207</v>
      </c>
      <c r="AW1054" s="74">
        <v>309904</v>
      </c>
      <c r="AX1054" s="1"/>
      <c r="AY1054" s="17" t="s">
        <v>101</v>
      </c>
    </row>
    <row r="1055" spans="1:51" ht="15" customHeight="1" x14ac:dyDescent="0.25">
      <c r="A1055" s="5">
        <v>1004.2</v>
      </c>
      <c r="B1055" s="9" t="s">
        <v>12513</v>
      </c>
      <c r="C1055" s="9" t="s">
        <v>12497</v>
      </c>
      <c r="D1055" s="57" t="str">
        <f>HYPERLINK("http://prodenv.dep.state.fl.us/DepNexus/public/electronic-documents/OG_1004/facility!search","OG_1004_Docs")</f>
        <v>OG_1004_Docs</v>
      </c>
      <c r="E1055" s="57" t="str">
        <f>HYPERLINK("https://ca.dep.state.fl.us/mapdirect/?focus=oilandgas&amp;zoom=query&amp;querytype=oilandgas&amp;queryvalues=OG_1004","OG_1004_Map")</f>
        <v>OG_1004_Map</v>
      </c>
      <c r="F1055" s="1" t="s">
        <v>1797</v>
      </c>
      <c r="G1055" s="1" t="s">
        <v>5133</v>
      </c>
      <c r="H1055" s="1" t="s">
        <v>1363</v>
      </c>
      <c r="I1055" s="1" t="s">
        <v>12514</v>
      </c>
      <c r="J1055" s="17" t="s">
        <v>207</v>
      </c>
      <c r="K1055" s="17" t="s">
        <v>207</v>
      </c>
      <c r="L1055" s="17"/>
      <c r="M1055" s="17" t="s">
        <v>207</v>
      </c>
      <c r="N1055" s="52" t="s">
        <v>207</v>
      </c>
      <c r="O1055" s="17" t="s">
        <v>86</v>
      </c>
      <c r="P1055" s="17" t="s">
        <v>86</v>
      </c>
      <c r="Q1055" s="81" t="s">
        <v>6617</v>
      </c>
      <c r="R1055" s="11">
        <v>30.959648999999999</v>
      </c>
      <c r="S1055" s="11">
        <v>-87.156057000000004</v>
      </c>
      <c r="T1055" s="11" t="s">
        <v>12500</v>
      </c>
      <c r="U1055" s="11" t="s">
        <v>12501</v>
      </c>
      <c r="V1055" s="17" t="s">
        <v>12502</v>
      </c>
      <c r="W1055" s="17"/>
      <c r="X1055" s="70"/>
      <c r="Y1055" s="70"/>
      <c r="Z1055" s="13">
        <v>41194</v>
      </c>
      <c r="AA1055" s="13"/>
      <c r="AB1055" s="13"/>
      <c r="AC1055" s="13"/>
      <c r="AD1055" s="86"/>
      <c r="AE1055" s="70"/>
      <c r="AF1055" s="70" t="s">
        <v>207</v>
      </c>
      <c r="AG1055" s="13" t="s">
        <v>207</v>
      </c>
      <c r="AH1055" s="13" t="s">
        <v>207</v>
      </c>
      <c r="AI1055" s="70" t="s">
        <v>207</v>
      </c>
      <c r="AJ1055" s="13" t="s">
        <v>207</v>
      </c>
      <c r="AK1055" s="13" t="s">
        <v>207</v>
      </c>
      <c r="AL1055" s="13" t="s">
        <v>207</v>
      </c>
      <c r="AM1055" s="13" t="s">
        <v>207</v>
      </c>
      <c r="AN1055" s="13" t="s">
        <v>207</v>
      </c>
      <c r="AO1055" s="13" t="s">
        <v>207</v>
      </c>
      <c r="AP1055" s="13" t="s">
        <v>207</v>
      </c>
      <c r="AQ1055" s="13" t="s">
        <v>207</v>
      </c>
      <c r="AR1055" s="13" t="s">
        <v>207</v>
      </c>
      <c r="AS1055" s="13" t="s">
        <v>207</v>
      </c>
      <c r="AT1055" s="13" t="s">
        <v>207</v>
      </c>
      <c r="AV1055" s="14" t="s">
        <v>207</v>
      </c>
      <c r="AW1055" s="74">
        <v>313130</v>
      </c>
      <c r="AX1055" s="1"/>
      <c r="AY1055" s="17" t="s">
        <v>101</v>
      </c>
    </row>
    <row r="1056" spans="1:51" ht="12.75" customHeight="1" x14ac:dyDescent="0.25">
      <c r="A1056" s="5">
        <v>1005</v>
      </c>
      <c r="B1056" s="9">
        <v>1005</v>
      </c>
      <c r="C1056" s="9" t="s">
        <v>12515</v>
      </c>
      <c r="D1056" s="57" t="str">
        <f>HYPERLINK("http://prodenv.dep.state.fl.us/DepNexus/public/electronic-documents/OG_1005/facility!search","OG_1005_Docs")</f>
        <v>OG_1005_Docs</v>
      </c>
      <c r="E1056" s="57" t="str">
        <f>HYPERLINK("https://ca.dep.state.fl.us/mapdirect/?focus=oilandgas&amp;zoom=query&amp;querytype=oilandgas&amp;queryvalues=OG_1005","OG_1005_Map")</f>
        <v>OG_1005_Map</v>
      </c>
      <c r="F1056" s="1" t="s">
        <v>1797</v>
      </c>
      <c r="G1056" s="1" t="s">
        <v>5133</v>
      </c>
      <c r="H1056" s="1" t="s">
        <v>1363</v>
      </c>
      <c r="I1056" s="1" t="s">
        <v>12516</v>
      </c>
      <c r="J1056" s="17" t="s">
        <v>1476</v>
      </c>
      <c r="K1056" s="17" t="s">
        <v>412</v>
      </c>
      <c r="L1056" s="17"/>
      <c r="M1056" s="17"/>
      <c r="N1056" s="52" t="s">
        <v>12499</v>
      </c>
      <c r="O1056" s="17" t="s">
        <v>86</v>
      </c>
      <c r="P1056" s="17" t="s">
        <v>86</v>
      </c>
      <c r="Q1056" s="81" t="s">
        <v>5877</v>
      </c>
      <c r="R1056" s="11">
        <v>30.971395999999999</v>
      </c>
      <c r="S1056" s="11">
        <v>-87.161711999999994</v>
      </c>
      <c r="T1056" s="11" t="s">
        <v>12517</v>
      </c>
      <c r="U1056" s="11" t="s">
        <v>12518</v>
      </c>
      <c r="V1056" s="17" t="s">
        <v>12519</v>
      </c>
      <c r="W1056" s="17" t="s">
        <v>12520</v>
      </c>
      <c r="X1056" s="70">
        <v>264</v>
      </c>
      <c r="Y1056" s="70">
        <v>240</v>
      </c>
      <c r="Z1056" s="13">
        <v>29284</v>
      </c>
      <c r="AA1056" s="13">
        <v>29504</v>
      </c>
      <c r="AB1056" s="13">
        <v>29619</v>
      </c>
      <c r="AC1056" s="13">
        <v>45491</v>
      </c>
      <c r="AD1056" s="86">
        <v>15697</v>
      </c>
      <c r="AE1056" s="70">
        <v>15855</v>
      </c>
      <c r="AF1056" s="70" t="s">
        <v>12521</v>
      </c>
      <c r="AG1056" s="17" t="s">
        <v>12522</v>
      </c>
      <c r="AH1056" s="17" t="s">
        <v>86</v>
      </c>
      <c r="AI1056" s="70" t="s">
        <v>12523</v>
      </c>
      <c r="AJ1056" s="17" t="s">
        <v>12524</v>
      </c>
      <c r="AK1056" s="17" t="s">
        <v>825</v>
      </c>
      <c r="AL1056" s="17" t="s">
        <v>12525</v>
      </c>
      <c r="AM1056" s="17" t="s">
        <v>825</v>
      </c>
      <c r="AN1056" s="17" t="s">
        <v>86</v>
      </c>
      <c r="AO1056" s="17" t="s">
        <v>12526</v>
      </c>
      <c r="AP1056" s="17" t="s">
        <v>12527</v>
      </c>
      <c r="AQ1056" s="17" t="s">
        <v>12528</v>
      </c>
      <c r="AR1056" s="17" t="s">
        <v>12529</v>
      </c>
      <c r="AS1056" s="17" t="s">
        <v>12530</v>
      </c>
      <c r="AT1056" s="17">
        <v>255</v>
      </c>
      <c r="AU1056" s="30" t="s">
        <v>12531</v>
      </c>
      <c r="AV1056" s="14">
        <v>14875</v>
      </c>
      <c r="AW1056" s="74">
        <v>309905</v>
      </c>
      <c r="AX1056" s="1"/>
      <c r="AY1056" s="17" t="s">
        <v>101</v>
      </c>
    </row>
    <row r="1057" spans="1:51" ht="12.75" customHeight="1" x14ac:dyDescent="0.25">
      <c r="A1057" s="5">
        <v>1006</v>
      </c>
      <c r="B1057" s="9">
        <v>1006</v>
      </c>
      <c r="C1057" s="9" t="s">
        <v>12532</v>
      </c>
      <c r="D1057" s="57" t="str">
        <f>HYPERLINK("http://prodenv.dep.state.fl.us/DepNexus/public/electronic-documents/OG_1006/facility!search","OG_1006_Docs")</f>
        <v>OG_1006_Docs</v>
      </c>
      <c r="E1057" s="57" t="str">
        <f>HYPERLINK("https://ca.dep.state.fl.us/mapdirect/?focus=oilandgas&amp;zoom=query&amp;querytype=oilandgas&amp;queryvalues=OG_1006","OG_1006_Map")</f>
        <v>OG_1006_Map</v>
      </c>
      <c r="F1057" s="1" t="s">
        <v>151</v>
      </c>
      <c r="G1057" s="1" t="s">
        <v>79</v>
      </c>
      <c r="H1057" s="1" t="s">
        <v>10982</v>
      </c>
      <c r="I1057" s="1" t="s">
        <v>12533</v>
      </c>
      <c r="J1057" s="17" t="s">
        <v>207</v>
      </c>
      <c r="K1057" s="17" t="s">
        <v>208</v>
      </c>
      <c r="L1057" s="17"/>
      <c r="M1057" s="17" t="s">
        <v>207</v>
      </c>
      <c r="N1057" s="52" t="s">
        <v>207</v>
      </c>
      <c r="O1057" s="17" t="s">
        <v>86</v>
      </c>
      <c r="P1057" s="17" t="s">
        <v>86</v>
      </c>
      <c r="Q1057" s="81" t="s">
        <v>12534</v>
      </c>
      <c r="R1057" s="11">
        <v>30.309048000000001</v>
      </c>
      <c r="S1057" s="11">
        <v>-85.399311999999995</v>
      </c>
      <c r="T1057" s="11" t="s">
        <v>12535</v>
      </c>
      <c r="U1057" s="11" t="s">
        <v>12536</v>
      </c>
      <c r="V1057" s="17" t="s">
        <v>12537</v>
      </c>
      <c r="W1057" s="17" t="s">
        <v>12538</v>
      </c>
      <c r="X1057" s="70"/>
      <c r="Y1057" s="70"/>
      <c r="Z1057" s="13">
        <v>29284</v>
      </c>
      <c r="AA1057" s="13"/>
      <c r="AB1057" s="13"/>
      <c r="AC1057" s="13"/>
      <c r="AD1057" s="86"/>
      <c r="AE1057" s="70"/>
      <c r="AF1057" s="70" t="s">
        <v>207</v>
      </c>
      <c r="AG1057" s="14" t="s">
        <v>207</v>
      </c>
      <c r="AH1057" s="14" t="s">
        <v>207</v>
      </c>
      <c r="AI1057" s="70" t="s">
        <v>207</v>
      </c>
      <c r="AJ1057" s="14" t="s">
        <v>207</v>
      </c>
      <c r="AK1057" s="14" t="s">
        <v>207</v>
      </c>
      <c r="AL1057" s="14" t="s">
        <v>207</v>
      </c>
      <c r="AM1057" s="14" t="s">
        <v>207</v>
      </c>
      <c r="AN1057" s="14" t="s">
        <v>207</v>
      </c>
      <c r="AO1057" s="14" t="s">
        <v>207</v>
      </c>
      <c r="AP1057" s="14" t="s">
        <v>207</v>
      </c>
      <c r="AQ1057" s="14" t="s">
        <v>207</v>
      </c>
      <c r="AR1057" s="14" t="s">
        <v>207</v>
      </c>
      <c r="AS1057" s="14" t="s">
        <v>207</v>
      </c>
      <c r="AT1057" s="14" t="s">
        <v>207</v>
      </c>
      <c r="AU1057" s="30" t="s">
        <v>12539</v>
      </c>
      <c r="AV1057" s="14" t="s">
        <v>207</v>
      </c>
      <c r="AW1057" s="74"/>
      <c r="AX1057" s="1"/>
      <c r="AY1057" s="17" t="s">
        <v>101</v>
      </c>
    </row>
    <row r="1058" spans="1:51" ht="15" customHeight="1" x14ac:dyDescent="0.25">
      <c r="A1058" s="5">
        <v>1007</v>
      </c>
      <c r="B1058" s="9">
        <v>1007</v>
      </c>
      <c r="C1058" s="9" t="s">
        <v>12540</v>
      </c>
      <c r="D1058" s="57" t="str">
        <f>HYPERLINK("http://prodenv.dep.state.fl.us/DepNexus/public/electronic-documents/OG_1007/facility!search","OG_1007_Docs")</f>
        <v>OG_1007_Docs</v>
      </c>
      <c r="E1058" s="57" t="str">
        <f>HYPERLINK("https://ca.dep.state.fl.us/mapdirect/?focus=oilandgas&amp;zoom=query&amp;querytype=oilandgas&amp;queryvalues=OG_1007","OG_1007_Map")</f>
        <v>OG_1007_Map</v>
      </c>
      <c r="F1058" s="1" t="s">
        <v>1752</v>
      </c>
      <c r="G1058" s="1" t="s">
        <v>3668</v>
      </c>
      <c r="H1058" s="1" t="s">
        <v>3669</v>
      </c>
      <c r="I1058" s="1" t="s">
        <v>12541</v>
      </c>
      <c r="J1058" s="17" t="s">
        <v>268</v>
      </c>
      <c r="K1058" s="17" t="s">
        <v>412</v>
      </c>
      <c r="L1058" s="17"/>
      <c r="M1058" s="17"/>
      <c r="N1058" s="52" t="s">
        <v>12542</v>
      </c>
      <c r="O1058" s="17" t="s">
        <v>86</v>
      </c>
      <c r="P1058" s="17" t="s">
        <v>86</v>
      </c>
      <c r="Q1058" s="81" t="s">
        <v>3689</v>
      </c>
      <c r="R1058" s="11">
        <v>26.523305000000001</v>
      </c>
      <c r="S1058" s="11">
        <v>-81.439188999999999</v>
      </c>
      <c r="T1058" s="11" t="s">
        <v>12543</v>
      </c>
      <c r="U1058" s="11" t="s">
        <v>12544</v>
      </c>
      <c r="V1058" s="17" t="s">
        <v>12545</v>
      </c>
      <c r="W1058" s="17" t="s">
        <v>110</v>
      </c>
      <c r="X1058" s="70">
        <v>55</v>
      </c>
      <c r="Y1058" s="70">
        <v>38</v>
      </c>
      <c r="Z1058" s="13">
        <v>29295</v>
      </c>
      <c r="AA1058" s="13">
        <v>29307</v>
      </c>
      <c r="AB1058" s="13">
        <v>29354</v>
      </c>
      <c r="AC1058" s="13">
        <v>33766</v>
      </c>
      <c r="AD1058" s="86">
        <v>11600</v>
      </c>
      <c r="AE1058" s="86">
        <v>11600</v>
      </c>
      <c r="AF1058" s="70" t="s">
        <v>12546</v>
      </c>
      <c r="AG1058" s="17" t="s">
        <v>12547</v>
      </c>
      <c r="AH1058" s="17" t="s">
        <v>12548</v>
      </c>
      <c r="AI1058" s="70" t="s">
        <v>12549</v>
      </c>
      <c r="AJ1058" s="17" t="s">
        <v>12550</v>
      </c>
      <c r="AK1058" s="17" t="s">
        <v>825</v>
      </c>
      <c r="AL1058" s="17" t="s">
        <v>12551</v>
      </c>
      <c r="AM1058" s="17" t="s">
        <v>825</v>
      </c>
      <c r="AN1058" s="17" t="s">
        <v>86</v>
      </c>
      <c r="AO1058" s="17" t="s">
        <v>3366</v>
      </c>
      <c r="AP1058" s="17" t="s">
        <v>12552</v>
      </c>
      <c r="AQ1058" s="17" t="s">
        <v>12553</v>
      </c>
      <c r="AR1058" s="17" t="s">
        <v>12554</v>
      </c>
      <c r="AS1058" s="17" t="s">
        <v>12555</v>
      </c>
      <c r="AT1058" s="17">
        <v>188</v>
      </c>
      <c r="AU1058" s="30" t="s">
        <v>12556</v>
      </c>
      <c r="AV1058" s="14">
        <v>14874</v>
      </c>
      <c r="AW1058" s="74"/>
      <c r="AX1058" s="1"/>
      <c r="AY1058" s="17" t="s">
        <v>101</v>
      </c>
    </row>
    <row r="1059" spans="1:51" ht="12.75" customHeight="1" x14ac:dyDescent="0.25">
      <c r="A1059" s="5">
        <v>1008</v>
      </c>
      <c r="B1059" s="9">
        <v>1008</v>
      </c>
      <c r="C1059" s="9" t="s">
        <v>12557</v>
      </c>
      <c r="D1059" s="57" t="str">
        <f>HYPERLINK("http://prodenv.dep.state.fl.us/DepNexus/public/electronic-documents/OG_1008/facility!search","OG_1008_Docs")</f>
        <v>OG_1008_Docs</v>
      </c>
      <c r="E1059" s="57" t="str">
        <f>HYPERLINK("https://ca.dep.state.fl.us/mapdirect/?focus=oilandgas&amp;zoom=query&amp;querytype=oilandgas&amp;queryvalues=OG_1008","OG_1008_Map")</f>
        <v>OG_1008_Map</v>
      </c>
      <c r="F1059" s="1" t="s">
        <v>1752</v>
      </c>
      <c r="G1059" s="1" t="s">
        <v>3668</v>
      </c>
      <c r="H1059" s="1" t="s">
        <v>128</v>
      </c>
      <c r="I1059" s="1" t="s">
        <v>12558</v>
      </c>
      <c r="J1059" s="17" t="s">
        <v>207</v>
      </c>
      <c r="K1059" s="17" t="s">
        <v>208</v>
      </c>
      <c r="L1059" s="17"/>
      <c r="M1059" s="17" t="s">
        <v>207</v>
      </c>
      <c r="N1059" s="52" t="s">
        <v>207</v>
      </c>
      <c r="O1059" s="17" t="s">
        <v>86</v>
      </c>
      <c r="P1059" s="17" t="s">
        <v>86</v>
      </c>
      <c r="Q1059" s="81" t="s">
        <v>3813</v>
      </c>
      <c r="R1059" s="11">
        <v>26.524529000000001</v>
      </c>
      <c r="S1059" s="11">
        <v>-81.442912000000007</v>
      </c>
      <c r="T1059" s="11" t="s">
        <v>12559</v>
      </c>
      <c r="U1059" s="11" t="s">
        <v>12560</v>
      </c>
      <c r="V1059" s="17" t="s">
        <v>12561</v>
      </c>
      <c r="W1059" s="17" t="s">
        <v>110</v>
      </c>
      <c r="X1059" s="70"/>
      <c r="Y1059" s="70"/>
      <c r="Z1059" s="13">
        <v>29326</v>
      </c>
      <c r="AA1059" s="13"/>
      <c r="AB1059" s="13"/>
      <c r="AC1059" s="13"/>
      <c r="AD1059" s="86"/>
      <c r="AE1059" s="70"/>
      <c r="AF1059" s="70" t="s">
        <v>207</v>
      </c>
      <c r="AG1059" s="14" t="s">
        <v>207</v>
      </c>
      <c r="AH1059" s="14" t="s">
        <v>207</v>
      </c>
      <c r="AI1059" s="70" t="s">
        <v>207</v>
      </c>
      <c r="AJ1059" s="14" t="s">
        <v>207</v>
      </c>
      <c r="AK1059" s="14" t="s">
        <v>207</v>
      </c>
      <c r="AL1059" s="14" t="s">
        <v>207</v>
      </c>
      <c r="AM1059" s="14" t="s">
        <v>207</v>
      </c>
      <c r="AN1059" s="14" t="s">
        <v>207</v>
      </c>
      <c r="AO1059" s="14" t="s">
        <v>207</v>
      </c>
      <c r="AP1059" s="14" t="s">
        <v>207</v>
      </c>
      <c r="AQ1059" s="14" t="s">
        <v>207</v>
      </c>
      <c r="AR1059" s="14" t="s">
        <v>207</v>
      </c>
      <c r="AS1059" s="14" t="s">
        <v>207</v>
      </c>
      <c r="AT1059" s="14" t="s">
        <v>207</v>
      </c>
      <c r="AU1059" s="30" t="s">
        <v>12562</v>
      </c>
      <c r="AV1059" s="14" t="s">
        <v>207</v>
      </c>
      <c r="AW1059" s="74"/>
      <c r="AX1059" s="1"/>
      <c r="AY1059" s="17" t="s">
        <v>101</v>
      </c>
    </row>
    <row r="1060" spans="1:51" ht="15" customHeight="1" x14ac:dyDescent="0.25">
      <c r="A1060" s="5">
        <v>1009</v>
      </c>
      <c r="B1060" s="9">
        <v>1009</v>
      </c>
      <c r="C1060" s="9" t="s">
        <v>12563</v>
      </c>
      <c r="D1060" s="57" t="str">
        <f>HYPERLINK("http://prodenv.dep.state.fl.us/DepNexus/public/electronic-documents/OG_1009/facility!search","OG_1009_Docs")</f>
        <v>OG_1009_Docs</v>
      </c>
      <c r="E1060" s="57" t="str">
        <f>HYPERLINK("https://ca.dep.state.fl.us/mapdirect/?focus=oilandgas&amp;zoom=query&amp;querytype=oilandgas&amp;queryvalues=OG_1009","OG_1009_Map")</f>
        <v>OG_1009_Map</v>
      </c>
      <c r="F1060" s="1" t="s">
        <v>1752</v>
      </c>
      <c r="G1060" s="1" t="s">
        <v>3668</v>
      </c>
      <c r="H1060" s="1" t="s">
        <v>128</v>
      </c>
      <c r="I1060" s="1" t="s">
        <v>12564</v>
      </c>
      <c r="J1060" s="17" t="s">
        <v>207</v>
      </c>
      <c r="K1060" s="17" t="s">
        <v>208</v>
      </c>
      <c r="L1060" s="17"/>
      <c r="M1060" s="17" t="s">
        <v>207</v>
      </c>
      <c r="N1060" s="52" t="s">
        <v>207</v>
      </c>
      <c r="O1060" s="17" t="s">
        <v>86</v>
      </c>
      <c r="P1060" s="17" t="s">
        <v>86</v>
      </c>
      <c r="Q1060" s="81" t="s">
        <v>3904</v>
      </c>
      <c r="R1060" s="11">
        <v>26.516725999999998</v>
      </c>
      <c r="S1060" s="11">
        <v>-81.432862999999998</v>
      </c>
      <c r="T1060" s="11" t="s">
        <v>12565</v>
      </c>
      <c r="U1060" s="11" t="s">
        <v>12566</v>
      </c>
      <c r="V1060" s="17" t="s">
        <v>12567</v>
      </c>
      <c r="W1060" s="17" t="s">
        <v>12568</v>
      </c>
      <c r="X1060" s="70"/>
      <c r="Y1060" s="70"/>
      <c r="Z1060" s="13">
        <v>29326</v>
      </c>
      <c r="AA1060" s="13"/>
      <c r="AB1060" s="13"/>
      <c r="AC1060" s="13"/>
      <c r="AD1060" s="86"/>
      <c r="AE1060" s="70"/>
      <c r="AF1060" s="70" t="s">
        <v>207</v>
      </c>
      <c r="AG1060" s="14" t="s">
        <v>207</v>
      </c>
      <c r="AH1060" s="14" t="s">
        <v>207</v>
      </c>
      <c r="AI1060" s="70" t="s">
        <v>207</v>
      </c>
      <c r="AJ1060" s="14" t="s">
        <v>207</v>
      </c>
      <c r="AK1060" s="14" t="s">
        <v>207</v>
      </c>
      <c r="AL1060" s="14" t="s">
        <v>207</v>
      </c>
      <c r="AM1060" s="14" t="s">
        <v>207</v>
      </c>
      <c r="AN1060" s="14" t="s">
        <v>207</v>
      </c>
      <c r="AO1060" s="14" t="s">
        <v>207</v>
      </c>
      <c r="AP1060" s="14" t="s">
        <v>207</v>
      </c>
      <c r="AQ1060" s="14" t="s">
        <v>207</v>
      </c>
      <c r="AR1060" s="14" t="s">
        <v>207</v>
      </c>
      <c r="AS1060" s="14" t="s">
        <v>207</v>
      </c>
      <c r="AT1060" s="14" t="s">
        <v>207</v>
      </c>
      <c r="AU1060" s="30" t="s">
        <v>12569</v>
      </c>
      <c r="AV1060" s="14" t="s">
        <v>207</v>
      </c>
      <c r="AW1060" s="74"/>
      <c r="AX1060" s="1"/>
      <c r="AY1060" s="17" t="s">
        <v>101</v>
      </c>
    </row>
    <row r="1061" spans="1:51" ht="12.75" customHeight="1" x14ac:dyDescent="0.25">
      <c r="A1061" s="5">
        <v>1010</v>
      </c>
      <c r="B1061" s="9">
        <v>1010</v>
      </c>
      <c r="C1061" s="9" t="s">
        <v>12570</v>
      </c>
      <c r="D1061" s="57" t="str">
        <f>HYPERLINK("http://prodenv.dep.state.fl.us/DepNexus/public/electronic-documents/OG_1010/facility!search","OG_1010_Docs")</f>
        <v>OG_1010_Docs</v>
      </c>
      <c r="E1061" s="57" t="str">
        <f>HYPERLINK("https://ca.dep.state.fl.us/mapdirect/?focus=oilandgas&amp;zoom=query&amp;querytype=oilandgas&amp;queryvalues=OG_1010","OG_1010_Map")</f>
        <v>OG_1010_Map</v>
      </c>
      <c r="F1061" s="1" t="s">
        <v>151</v>
      </c>
      <c r="G1061" s="1" t="s">
        <v>79</v>
      </c>
      <c r="H1061" s="1" t="s">
        <v>10982</v>
      </c>
      <c r="I1061" s="1" t="s">
        <v>12533</v>
      </c>
      <c r="J1061" s="17" t="s">
        <v>82</v>
      </c>
      <c r="K1061" s="17" t="s">
        <v>83</v>
      </c>
      <c r="L1061" s="17"/>
      <c r="M1061" s="17" t="s">
        <v>101</v>
      </c>
      <c r="N1061" s="52" t="s">
        <v>12571</v>
      </c>
      <c r="O1061" s="17" t="s">
        <v>86</v>
      </c>
      <c r="P1061" s="17" t="s">
        <v>86</v>
      </c>
      <c r="Q1061" s="81" t="s">
        <v>12534</v>
      </c>
      <c r="R1061" s="11">
        <v>30.3095</v>
      </c>
      <c r="S1061" s="11">
        <v>-85.399075999999994</v>
      </c>
      <c r="T1061" s="11" t="s">
        <v>12572</v>
      </c>
      <c r="U1061" s="11" t="s">
        <v>12573</v>
      </c>
      <c r="V1061" s="17" t="s">
        <v>12537</v>
      </c>
      <c r="W1061" s="17" t="s">
        <v>110</v>
      </c>
      <c r="X1061" s="70">
        <v>105</v>
      </c>
      <c r="Y1061" s="70">
        <v>80</v>
      </c>
      <c r="Z1061" s="13">
        <v>29326</v>
      </c>
      <c r="AA1061" s="13">
        <v>29368</v>
      </c>
      <c r="AB1061" s="13">
        <v>29421</v>
      </c>
      <c r="AC1061" s="13">
        <v>29421</v>
      </c>
      <c r="AD1061" s="86">
        <v>12486</v>
      </c>
      <c r="AE1061" s="86">
        <v>12486</v>
      </c>
      <c r="AF1061" s="70" t="s">
        <v>12574</v>
      </c>
      <c r="AG1061" s="17" t="s">
        <v>12575</v>
      </c>
      <c r="AH1061" s="17" t="s">
        <v>86</v>
      </c>
      <c r="AI1061" s="70" t="s">
        <v>94</v>
      </c>
      <c r="AJ1061" s="17" t="s">
        <v>94</v>
      </c>
      <c r="AK1061" s="17" t="s">
        <v>95</v>
      </c>
      <c r="AL1061" s="17" t="s">
        <v>12576</v>
      </c>
      <c r="AM1061" s="17" t="s">
        <v>825</v>
      </c>
      <c r="AN1061" s="17" t="s">
        <v>94</v>
      </c>
      <c r="AO1061" s="17" t="s">
        <v>98</v>
      </c>
      <c r="AP1061" s="17" t="s">
        <v>98</v>
      </c>
      <c r="AQ1061" s="17" t="s">
        <v>98</v>
      </c>
      <c r="AR1061" s="17" t="s">
        <v>94</v>
      </c>
      <c r="AS1061" s="17" t="s">
        <v>12577</v>
      </c>
      <c r="AT1061" s="17">
        <v>218</v>
      </c>
      <c r="AU1061" s="30" t="s">
        <v>12578</v>
      </c>
      <c r="AV1061" s="14">
        <v>14644</v>
      </c>
      <c r="AW1061" s="74"/>
      <c r="AX1061" s="1"/>
      <c r="AY1061" s="17" t="s">
        <v>101</v>
      </c>
    </row>
    <row r="1062" spans="1:51" ht="12.75" customHeight="1" x14ac:dyDescent="0.25">
      <c r="A1062" s="5">
        <v>1011</v>
      </c>
      <c r="B1062" s="9">
        <v>1011</v>
      </c>
      <c r="C1062" s="9" t="s">
        <v>12579</v>
      </c>
      <c r="D1062" s="57" t="str">
        <f>HYPERLINK("http://prodenv.dep.state.fl.us/DepNexus/public/electronic-documents/OG_1011/facility!search","OG_1011_Docs")</f>
        <v>OG_1011_Docs</v>
      </c>
      <c r="E1062" s="57" t="str">
        <f>HYPERLINK("https://ca.dep.state.fl.us/mapdirect/?focus=oilandgas&amp;zoom=query&amp;querytype=oilandgas&amp;queryvalues=OG_1011","OG_1011_Map")</f>
        <v>OG_1011_Map</v>
      </c>
      <c r="F1062" s="1" t="s">
        <v>265</v>
      </c>
      <c r="G1062" s="1" t="s">
        <v>79</v>
      </c>
      <c r="H1062" s="1" t="s">
        <v>8261</v>
      </c>
      <c r="I1062" s="1" t="s">
        <v>12580</v>
      </c>
      <c r="J1062" s="17" t="s">
        <v>207</v>
      </c>
      <c r="K1062" s="17" t="s">
        <v>208</v>
      </c>
      <c r="L1062" s="17"/>
      <c r="M1062" s="17" t="s">
        <v>207</v>
      </c>
      <c r="N1062" s="52" t="s">
        <v>207</v>
      </c>
      <c r="O1062" s="17" t="s">
        <v>270</v>
      </c>
      <c r="P1062" s="17" t="s">
        <v>86</v>
      </c>
      <c r="Q1062" s="81" t="s">
        <v>12581</v>
      </c>
      <c r="R1062" s="11">
        <v>26.108170000000001</v>
      </c>
      <c r="S1062" s="11">
        <v>-81.018450999999999</v>
      </c>
      <c r="T1062" s="11" t="s">
        <v>12582</v>
      </c>
      <c r="U1062" s="11" t="s">
        <v>12583</v>
      </c>
      <c r="V1062" s="17" t="s">
        <v>10516</v>
      </c>
      <c r="W1062" s="17" t="s">
        <v>110</v>
      </c>
      <c r="X1062" s="70"/>
      <c r="Y1062" s="70"/>
      <c r="Z1062" s="13">
        <v>29347</v>
      </c>
      <c r="AA1062" s="13"/>
      <c r="AB1062" s="13"/>
      <c r="AC1062" s="13"/>
      <c r="AD1062" s="86"/>
      <c r="AE1062" s="70"/>
      <c r="AF1062" s="70" t="s">
        <v>207</v>
      </c>
      <c r="AG1062" s="14" t="s">
        <v>207</v>
      </c>
      <c r="AH1062" s="14" t="s">
        <v>207</v>
      </c>
      <c r="AI1062" s="70" t="s">
        <v>207</v>
      </c>
      <c r="AJ1062" s="14" t="s">
        <v>207</v>
      </c>
      <c r="AK1062" s="14" t="s">
        <v>207</v>
      </c>
      <c r="AL1062" s="14" t="s">
        <v>207</v>
      </c>
      <c r="AM1062" s="14" t="s">
        <v>207</v>
      </c>
      <c r="AN1062" s="14" t="s">
        <v>207</v>
      </c>
      <c r="AO1062" s="14" t="s">
        <v>207</v>
      </c>
      <c r="AP1062" s="14" t="s">
        <v>207</v>
      </c>
      <c r="AQ1062" s="14" t="s">
        <v>207</v>
      </c>
      <c r="AR1062" s="14" t="s">
        <v>207</v>
      </c>
      <c r="AS1062" s="14" t="s">
        <v>207</v>
      </c>
      <c r="AT1062" s="14" t="s">
        <v>207</v>
      </c>
      <c r="AU1062" s="30" t="s">
        <v>12584</v>
      </c>
      <c r="AV1062" s="14" t="s">
        <v>207</v>
      </c>
      <c r="AW1062" s="74"/>
      <c r="AX1062" s="1"/>
      <c r="AY1062" s="17" t="s">
        <v>101</v>
      </c>
    </row>
    <row r="1063" spans="1:51" ht="12.75" customHeight="1" x14ac:dyDescent="0.25">
      <c r="A1063" s="5">
        <v>1012</v>
      </c>
      <c r="B1063" s="9">
        <v>1012</v>
      </c>
      <c r="C1063" s="9" t="s">
        <v>12585</v>
      </c>
      <c r="D1063" s="57" t="str">
        <f>HYPERLINK("http://prodenv.dep.state.fl.us/DepNexus/public/electronic-documents/OG_1012/facility!search","OG_1012_Docs")</f>
        <v>OG_1012_Docs</v>
      </c>
      <c r="E1063" s="57" t="str">
        <f>HYPERLINK("https://ca.dep.state.fl.us/mapdirect/?focus=oilandgas&amp;zoom=query&amp;querytype=oilandgas&amp;queryvalues=OG_1012","OG_1012_Map")</f>
        <v>OG_1012_Map</v>
      </c>
      <c r="F1063" s="1" t="s">
        <v>265</v>
      </c>
      <c r="G1063" s="1" t="s">
        <v>79</v>
      </c>
      <c r="H1063" s="1" t="s">
        <v>8261</v>
      </c>
      <c r="I1063" s="1" t="s">
        <v>12586</v>
      </c>
      <c r="J1063" s="17" t="s">
        <v>82</v>
      </c>
      <c r="K1063" s="17" t="s">
        <v>83</v>
      </c>
      <c r="L1063" s="17"/>
      <c r="M1063" s="17"/>
      <c r="N1063" s="52" t="s">
        <v>12587</v>
      </c>
      <c r="O1063" s="17" t="s">
        <v>270</v>
      </c>
      <c r="P1063" s="17" t="s">
        <v>86</v>
      </c>
      <c r="Q1063" s="81" t="s">
        <v>12588</v>
      </c>
      <c r="R1063" s="11">
        <v>26.108946</v>
      </c>
      <c r="S1063" s="11">
        <v>-81.022805000000005</v>
      </c>
      <c r="T1063" s="11" t="s">
        <v>12589</v>
      </c>
      <c r="U1063" s="11" t="s">
        <v>12590</v>
      </c>
      <c r="V1063" s="17" t="s">
        <v>12591</v>
      </c>
      <c r="W1063" s="17" t="s">
        <v>12592</v>
      </c>
      <c r="X1063" s="70">
        <v>37</v>
      </c>
      <c r="Y1063" s="70">
        <v>16</v>
      </c>
      <c r="Z1063" s="13">
        <v>29347</v>
      </c>
      <c r="AA1063" s="13">
        <v>29677</v>
      </c>
      <c r="AB1063" s="13"/>
      <c r="AC1063" s="13">
        <v>29725</v>
      </c>
      <c r="AD1063" s="86">
        <v>11442</v>
      </c>
      <c r="AE1063" s="86">
        <v>11772</v>
      </c>
      <c r="AF1063" s="70" t="s">
        <v>12593</v>
      </c>
      <c r="AG1063" s="17" t="s">
        <v>12594</v>
      </c>
      <c r="AH1063" s="17" t="s">
        <v>12595</v>
      </c>
      <c r="AI1063" s="70" t="s">
        <v>12596</v>
      </c>
      <c r="AJ1063" s="17" t="s">
        <v>86</v>
      </c>
      <c r="AK1063" s="17" t="s">
        <v>95</v>
      </c>
      <c r="AL1063" s="17" t="s">
        <v>12597</v>
      </c>
      <c r="AM1063" s="17" t="s">
        <v>825</v>
      </c>
      <c r="AN1063" s="17" t="s">
        <v>86</v>
      </c>
      <c r="AO1063" s="17" t="s">
        <v>98</v>
      </c>
      <c r="AP1063" s="17" t="s">
        <v>98</v>
      </c>
      <c r="AQ1063" s="17" t="s">
        <v>98</v>
      </c>
      <c r="AR1063" s="17" t="s">
        <v>94</v>
      </c>
      <c r="AS1063" s="17" t="s">
        <v>12598</v>
      </c>
      <c r="AT1063" s="17">
        <v>194</v>
      </c>
      <c r="AU1063" s="30" t="s">
        <v>12599</v>
      </c>
      <c r="AV1063" s="14">
        <v>14962</v>
      </c>
      <c r="AW1063" s="74"/>
      <c r="AX1063" s="1"/>
      <c r="AY1063" s="17" t="s">
        <v>101</v>
      </c>
    </row>
    <row r="1064" spans="1:51" ht="12.75" customHeight="1" x14ac:dyDescent="0.25">
      <c r="A1064" s="5">
        <v>1013</v>
      </c>
      <c r="B1064" s="9">
        <v>1013</v>
      </c>
      <c r="C1064" s="9" t="s">
        <v>12600</v>
      </c>
      <c r="D1064" s="57" t="str">
        <f>HYPERLINK("http://prodenv.dep.state.fl.us/DepNexus/public/electronic-documents/OG_1013/facility!search","OG_1013_Docs")</f>
        <v>OG_1013_Docs</v>
      </c>
      <c r="E1064" s="57" t="str">
        <f>HYPERLINK("https://ca.dep.state.fl.us/mapdirect/?focus=oilandgas&amp;zoom=query&amp;querytype=oilandgas&amp;queryvalues=OG_1013","OG_1013_Map")</f>
        <v>OG_1013_Map</v>
      </c>
      <c r="F1064" s="1" t="s">
        <v>1797</v>
      </c>
      <c r="G1064" s="1" t="s">
        <v>5133</v>
      </c>
      <c r="H1064" s="1" t="s">
        <v>1363</v>
      </c>
      <c r="I1064" s="1" t="s">
        <v>12601</v>
      </c>
      <c r="J1064" s="17" t="s">
        <v>268</v>
      </c>
      <c r="K1064" s="17" t="s">
        <v>412</v>
      </c>
      <c r="L1064" s="17"/>
      <c r="M1064" s="17"/>
      <c r="N1064" s="52" t="s">
        <v>12602</v>
      </c>
      <c r="O1064" s="17" t="s">
        <v>86</v>
      </c>
      <c r="P1064" s="17" t="s">
        <v>86</v>
      </c>
      <c r="Q1064" s="81" t="s">
        <v>6853</v>
      </c>
      <c r="R1064" s="11">
        <v>30.949020000000001</v>
      </c>
      <c r="S1064" s="11">
        <v>-87.158715000000001</v>
      </c>
      <c r="T1064" s="11" t="s">
        <v>12603</v>
      </c>
      <c r="U1064" s="11" t="s">
        <v>12604</v>
      </c>
      <c r="V1064" s="17" t="s">
        <v>12605</v>
      </c>
      <c r="W1064" s="17" t="s">
        <v>12606</v>
      </c>
      <c r="X1064" s="70">
        <v>283</v>
      </c>
      <c r="Y1064" s="70">
        <v>253</v>
      </c>
      <c r="Z1064" s="13">
        <v>29375</v>
      </c>
      <c r="AA1064" s="13">
        <v>29664</v>
      </c>
      <c r="AB1064" s="13">
        <v>29757</v>
      </c>
      <c r="AC1064" s="13">
        <v>38460</v>
      </c>
      <c r="AD1064" s="86">
        <v>15894</v>
      </c>
      <c r="AE1064" s="70">
        <v>15990</v>
      </c>
      <c r="AF1064" s="70" t="s">
        <v>11383</v>
      </c>
      <c r="AG1064" s="17" t="s">
        <v>12607</v>
      </c>
      <c r="AH1064" s="17" t="s">
        <v>86</v>
      </c>
      <c r="AI1064" s="70" t="s">
        <v>12608</v>
      </c>
      <c r="AJ1064" s="17" t="s">
        <v>12609</v>
      </c>
      <c r="AK1064" s="17" t="s">
        <v>825</v>
      </c>
      <c r="AL1064" s="17" t="s">
        <v>12610</v>
      </c>
      <c r="AM1064" s="17" t="s">
        <v>825</v>
      </c>
      <c r="AN1064" s="17" t="s">
        <v>86</v>
      </c>
      <c r="AO1064" s="17" t="s">
        <v>12611</v>
      </c>
      <c r="AP1064" s="17" t="s">
        <v>12612</v>
      </c>
      <c r="AQ1064" s="17" t="s">
        <v>12613</v>
      </c>
      <c r="AR1064" s="17" t="s">
        <v>12614</v>
      </c>
      <c r="AS1064" s="17" t="s">
        <v>12615</v>
      </c>
      <c r="AT1064" s="17">
        <v>249</v>
      </c>
      <c r="AU1064" s="30" t="s">
        <v>12616</v>
      </c>
      <c r="AV1064" s="14">
        <v>15014</v>
      </c>
      <c r="AW1064" s="74">
        <v>302982</v>
      </c>
      <c r="AX1064" s="1"/>
      <c r="AY1064" s="17" t="s">
        <v>101</v>
      </c>
    </row>
    <row r="1065" spans="1:51" ht="12.75" customHeight="1" x14ac:dyDescent="0.25">
      <c r="A1065" s="5">
        <v>1013.1</v>
      </c>
      <c r="B1065" s="9" t="s">
        <v>12617</v>
      </c>
      <c r="C1065" s="9" t="s">
        <v>12600</v>
      </c>
      <c r="D1065" s="57" t="str">
        <f>HYPERLINK("http://prodenv.dep.state.fl.us/DepNexus/public/electronic-documents/OG_1013/facility!search","OG_1013_Docs")</f>
        <v>OG_1013_Docs</v>
      </c>
      <c r="E1065" s="57" t="str">
        <f>HYPERLINK("https://ca.dep.state.fl.us/mapdirect/?focus=oilandgas&amp;zoom=query&amp;querytype=oilandgas&amp;queryvalues=OG_1013","OG_1013_Map")</f>
        <v>OG_1013_Map</v>
      </c>
      <c r="F1065" s="1" t="s">
        <v>1797</v>
      </c>
      <c r="G1065" s="1" t="s">
        <v>5133</v>
      </c>
      <c r="H1065" s="1" t="s">
        <v>1363</v>
      </c>
      <c r="I1065" s="1" t="s">
        <v>12618</v>
      </c>
      <c r="J1065" s="17" t="s">
        <v>11274</v>
      </c>
      <c r="K1065" s="17"/>
      <c r="L1065" s="17"/>
      <c r="M1065" s="17"/>
      <c r="N1065" s="52"/>
      <c r="O1065" s="17" t="s">
        <v>86</v>
      </c>
      <c r="P1065" s="17" t="s">
        <v>86</v>
      </c>
      <c r="Q1065" s="81" t="s">
        <v>6853</v>
      </c>
      <c r="R1065" s="11">
        <v>30.949026</v>
      </c>
      <c r="S1065" s="11">
        <v>-87.158720000000002</v>
      </c>
      <c r="T1065" s="11" t="s">
        <v>12619</v>
      </c>
      <c r="U1065" s="11" t="s">
        <v>12620</v>
      </c>
      <c r="V1065" s="17" t="s">
        <v>12605</v>
      </c>
      <c r="W1065" s="17" t="s">
        <v>12621</v>
      </c>
      <c r="X1065" s="70"/>
      <c r="Y1065" s="70"/>
      <c r="Z1065" s="13">
        <v>43669</v>
      </c>
      <c r="AA1065" s="13"/>
      <c r="AB1065" s="13"/>
      <c r="AC1065" s="13"/>
      <c r="AD1065" s="86"/>
      <c r="AE1065" s="70"/>
      <c r="AF1065" s="70" t="s">
        <v>11383</v>
      </c>
      <c r="AG1065" s="17" t="s">
        <v>12607</v>
      </c>
      <c r="AH1065" s="17"/>
      <c r="AI1065" s="70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V1065" s="14"/>
      <c r="AW1065" s="74">
        <v>302982</v>
      </c>
      <c r="AX1065" s="1"/>
      <c r="AY1065" s="17" t="s">
        <v>101</v>
      </c>
    </row>
    <row r="1066" spans="1:51" ht="15" customHeight="1" x14ac:dyDescent="0.25">
      <c r="A1066" s="5">
        <v>1014</v>
      </c>
      <c r="B1066" s="9">
        <v>1014</v>
      </c>
      <c r="C1066" s="9" t="s">
        <v>12622</v>
      </c>
      <c r="D1066" s="57" t="str">
        <f>HYPERLINK("http://prodenv.dep.state.fl.us/DepNexus/public/electronic-documents/OG_1014/facility!search","OG_1014_Docs")</f>
        <v>OG_1014_Docs</v>
      </c>
      <c r="E1066" s="57" t="str">
        <f>HYPERLINK("https://ca.dep.state.fl.us/mapdirect/?focus=oilandgas&amp;zoom=query&amp;querytype=oilandgas&amp;queryvalues=OG_1014","OG_1014_Map")</f>
        <v>OG_1014_Map</v>
      </c>
      <c r="F1066" s="1" t="s">
        <v>2026</v>
      </c>
      <c r="G1066" s="1" t="s">
        <v>9085</v>
      </c>
      <c r="H1066" s="1" t="s">
        <v>8261</v>
      </c>
      <c r="I1066" s="1" t="s">
        <v>12623</v>
      </c>
      <c r="J1066" s="17" t="s">
        <v>82</v>
      </c>
      <c r="K1066" s="17" t="s">
        <v>83</v>
      </c>
      <c r="L1066" s="17"/>
      <c r="M1066" s="17" t="s">
        <v>101</v>
      </c>
      <c r="N1066" s="52" t="s">
        <v>12602</v>
      </c>
      <c r="O1066" s="17" t="s">
        <v>86</v>
      </c>
      <c r="P1066" s="17" t="s">
        <v>86</v>
      </c>
      <c r="Q1066" s="81" t="s">
        <v>12624</v>
      </c>
      <c r="R1066" s="11">
        <v>26.625057000000002</v>
      </c>
      <c r="S1066" s="11">
        <v>-81.642314999999996</v>
      </c>
      <c r="T1066" s="11" t="s">
        <v>12625</v>
      </c>
      <c r="U1066" s="11" t="s">
        <v>12626</v>
      </c>
      <c r="V1066" s="17" t="s">
        <v>12627</v>
      </c>
      <c r="W1066" s="17" t="s">
        <v>12628</v>
      </c>
      <c r="X1066" s="70">
        <v>45</v>
      </c>
      <c r="Y1066" s="70">
        <v>23</v>
      </c>
      <c r="Z1066" s="13">
        <v>29375</v>
      </c>
      <c r="AA1066" s="13">
        <v>29830</v>
      </c>
      <c r="AB1066" s="13"/>
      <c r="AC1066" s="13">
        <v>29926</v>
      </c>
      <c r="AD1066" s="86">
        <v>11695</v>
      </c>
      <c r="AE1066" s="70">
        <v>12548</v>
      </c>
      <c r="AF1066" s="70" t="s">
        <v>12180</v>
      </c>
      <c r="AG1066" s="17" t="s">
        <v>12629</v>
      </c>
      <c r="AH1066" s="17" t="s">
        <v>12630</v>
      </c>
      <c r="AI1066" s="70" t="s">
        <v>86</v>
      </c>
      <c r="AJ1066" s="17" t="s">
        <v>86</v>
      </c>
      <c r="AK1066" s="17" t="s">
        <v>95</v>
      </c>
      <c r="AL1066" s="17" t="s">
        <v>12631</v>
      </c>
      <c r="AM1066" s="17" t="s">
        <v>95</v>
      </c>
      <c r="AN1066" s="17" t="s">
        <v>94</v>
      </c>
      <c r="AO1066" s="17" t="s">
        <v>98</v>
      </c>
      <c r="AP1066" s="17" t="s">
        <v>98</v>
      </c>
      <c r="AQ1066" s="17" t="s">
        <v>98</v>
      </c>
      <c r="AR1066" s="17" t="s">
        <v>94</v>
      </c>
      <c r="AS1066" s="17" t="s">
        <v>12632</v>
      </c>
      <c r="AT1066" s="17">
        <v>167</v>
      </c>
      <c r="AU1066" s="30" t="s">
        <v>12633</v>
      </c>
      <c r="AV1066" s="14">
        <v>15092</v>
      </c>
      <c r="AW1066" s="74">
        <v>309905</v>
      </c>
      <c r="AX1066" s="1" t="s">
        <v>12634</v>
      </c>
      <c r="AY1066" s="17" t="s">
        <v>101</v>
      </c>
    </row>
    <row r="1067" spans="1:51" ht="12.75" customHeight="1" x14ac:dyDescent="0.25">
      <c r="A1067" s="5">
        <v>1015</v>
      </c>
      <c r="B1067" s="9">
        <v>1015</v>
      </c>
      <c r="C1067" s="9" t="s">
        <v>12635</v>
      </c>
      <c r="D1067" s="57" t="str">
        <f>HYPERLINK("http://prodenv.dep.state.fl.us/DepNexus/public/electronic-documents/OG_1015/facility!search","OG_1015_Docs")</f>
        <v>OG_1015_Docs</v>
      </c>
      <c r="E1067" s="57" t="str">
        <f>HYPERLINK("https://ca.dep.state.fl.us/mapdirect/?focus=oilandgas&amp;zoom=query&amp;querytype=oilandgas&amp;queryvalues=OG_1015","OG_1015_Map")</f>
        <v>OG_1015_Map</v>
      </c>
      <c r="F1067" s="1" t="s">
        <v>1151</v>
      </c>
      <c r="G1067" s="1" t="s">
        <v>79</v>
      </c>
      <c r="H1067" s="1" t="s">
        <v>8093</v>
      </c>
      <c r="I1067" s="1" t="s">
        <v>12636</v>
      </c>
      <c r="J1067" s="17" t="s">
        <v>82</v>
      </c>
      <c r="K1067" s="17" t="s">
        <v>83</v>
      </c>
      <c r="L1067" s="17"/>
      <c r="M1067" s="17" t="s">
        <v>101</v>
      </c>
      <c r="N1067" s="52" t="s">
        <v>12637</v>
      </c>
      <c r="O1067" s="17" t="s">
        <v>86</v>
      </c>
      <c r="P1067" s="17" t="s">
        <v>86</v>
      </c>
      <c r="Q1067" s="81" t="s">
        <v>12638</v>
      </c>
      <c r="R1067" s="11">
        <v>30.175975000000001</v>
      </c>
      <c r="S1067" s="11">
        <v>-83.406374999999997</v>
      </c>
      <c r="T1067" s="11" t="s">
        <v>12639</v>
      </c>
      <c r="U1067" s="11" t="s">
        <v>12640</v>
      </c>
      <c r="V1067" s="17" t="s">
        <v>12641</v>
      </c>
      <c r="W1067" s="17" t="s">
        <v>110</v>
      </c>
      <c r="X1067" s="70"/>
      <c r="Y1067" s="70">
        <v>10</v>
      </c>
      <c r="Z1067" s="13">
        <v>29378</v>
      </c>
      <c r="AA1067" s="13">
        <v>29406</v>
      </c>
      <c r="AB1067" s="13">
        <v>29488</v>
      </c>
      <c r="AC1067" s="13">
        <v>29488</v>
      </c>
      <c r="AD1067" s="86">
        <v>6477</v>
      </c>
      <c r="AE1067" s="86">
        <v>6477</v>
      </c>
      <c r="AF1067" s="70" t="s">
        <v>12642</v>
      </c>
      <c r="AG1067" s="17" t="s">
        <v>12643</v>
      </c>
      <c r="AH1067" s="17" t="s">
        <v>12644</v>
      </c>
      <c r="AI1067" s="70" t="s">
        <v>94</v>
      </c>
      <c r="AJ1067" s="17" t="s">
        <v>94</v>
      </c>
      <c r="AK1067" s="17" t="s">
        <v>95</v>
      </c>
      <c r="AL1067" s="17" t="s">
        <v>86</v>
      </c>
      <c r="AM1067" s="17" t="s">
        <v>825</v>
      </c>
      <c r="AN1067" s="17" t="s">
        <v>94</v>
      </c>
      <c r="AO1067" s="17" t="s">
        <v>98</v>
      </c>
      <c r="AP1067" s="17" t="s">
        <v>98</v>
      </c>
      <c r="AQ1067" s="17" t="s">
        <v>98</v>
      </c>
      <c r="AR1067" s="17" t="s">
        <v>94</v>
      </c>
      <c r="AS1067" s="17" t="s">
        <v>12645</v>
      </c>
      <c r="AT1067" s="17">
        <v>135</v>
      </c>
      <c r="AU1067" s="30" t="s">
        <v>12646</v>
      </c>
      <c r="AV1067" s="14">
        <v>14718</v>
      </c>
      <c r="AW1067" s="74"/>
      <c r="AX1067" s="1"/>
      <c r="AY1067" s="17" t="s">
        <v>101</v>
      </c>
    </row>
    <row r="1068" spans="1:51" ht="12.75" customHeight="1" x14ac:dyDescent="0.25">
      <c r="A1068" s="5">
        <v>1016</v>
      </c>
      <c r="B1068" s="9">
        <v>1016</v>
      </c>
      <c r="C1068" s="9" t="s">
        <v>12647</v>
      </c>
      <c r="D1068" s="57" t="str">
        <f>HYPERLINK("http://prodenv.dep.state.fl.us/DepNexus/public/electronic-documents/OG_1016/facility!search","OG_1016_Docs")</f>
        <v>OG_1016_Docs</v>
      </c>
      <c r="E1068" s="57" t="str">
        <f>HYPERLINK("https://ca.dep.state.fl.us/mapdirect/?focus=oilandgas&amp;zoom=query&amp;querytype=oilandgas&amp;queryvalues=OG_1016","OG_1016_Map")</f>
        <v>OG_1016_Map</v>
      </c>
      <c r="F1068" s="1" t="s">
        <v>265</v>
      </c>
      <c r="G1068" s="1" t="s">
        <v>79</v>
      </c>
      <c r="H1068" s="1" t="s">
        <v>12078</v>
      </c>
      <c r="I1068" s="1" t="s">
        <v>12648</v>
      </c>
      <c r="J1068" s="17" t="s">
        <v>82</v>
      </c>
      <c r="K1068" s="17" t="s">
        <v>83</v>
      </c>
      <c r="L1068" s="17"/>
      <c r="M1068" s="17" t="s">
        <v>101</v>
      </c>
      <c r="N1068" s="52" t="s">
        <v>12649</v>
      </c>
      <c r="O1068" s="17" t="s">
        <v>270</v>
      </c>
      <c r="P1068" s="17" t="s">
        <v>86</v>
      </c>
      <c r="Q1068" s="81" t="s">
        <v>12650</v>
      </c>
      <c r="R1068" s="11">
        <v>26.435704000000001</v>
      </c>
      <c r="S1068" s="11">
        <v>-81.445291999999995</v>
      </c>
      <c r="T1068" s="11" t="s">
        <v>12651</v>
      </c>
      <c r="U1068" s="11" t="s">
        <v>12652</v>
      </c>
      <c r="V1068" s="17" t="s">
        <v>12653</v>
      </c>
      <c r="W1068" s="17" t="s">
        <v>110</v>
      </c>
      <c r="X1068" s="70">
        <v>52</v>
      </c>
      <c r="Y1068" s="70">
        <v>37</v>
      </c>
      <c r="Z1068" s="13">
        <v>29389</v>
      </c>
      <c r="AA1068" s="13">
        <v>29498</v>
      </c>
      <c r="AB1068" s="13"/>
      <c r="AC1068" s="13">
        <v>29535</v>
      </c>
      <c r="AD1068" s="86">
        <v>11840</v>
      </c>
      <c r="AE1068" s="86">
        <v>11840</v>
      </c>
      <c r="AF1068" s="70" t="s">
        <v>12654</v>
      </c>
      <c r="AG1068" s="17" t="s">
        <v>12655</v>
      </c>
      <c r="AH1068" s="17" t="s">
        <v>12656</v>
      </c>
      <c r="AI1068" s="70" t="s">
        <v>94</v>
      </c>
      <c r="AJ1068" s="17" t="s">
        <v>94</v>
      </c>
      <c r="AK1068" s="17" t="s">
        <v>95</v>
      </c>
      <c r="AL1068" s="17" t="s">
        <v>12657</v>
      </c>
      <c r="AM1068" s="17" t="s">
        <v>95</v>
      </c>
      <c r="AN1068" s="17" t="s">
        <v>12658</v>
      </c>
      <c r="AO1068" s="17" t="s">
        <v>98</v>
      </c>
      <c r="AP1068" s="17" t="s">
        <v>98</v>
      </c>
      <c r="AQ1068" s="17" t="s">
        <v>98</v>
      </c>
      <c r="AR1068" s="17" t="s">
        <v>94</v>
      </c>
      <c r="AS1068" s="17" t="s">
        <v>12659</v>
      </c>
      <c r="AT1068" s="17">
        <v>197</v>
      </c>
      <c r="AU1068" s="30" t="s">
        <v>12660</v>
      </c>
      <c r="AV1068" s="14">
        <v>14797</v>
      </c>
      <c r="AW1068" s="74"/>
      <c r="AX1068" s="1"/>
      <c r="AY1068" s="17" t="s">
        <v>101</v>
      </c>
    </row>
    <row r="1069" spans="1:51" ht="12.75" customHeight="1" x14ac:dyDescent="0.25">
      <c r="A1069" s="5">
        <v>1017</v>
      </c>
      <c r="B1069" s="9">
        <v>1017</v>
      </c>
      <c r="C1069" s="9" t="s">
        <v>12661</v>
      </c>
      <c r="D1069" s="57" t="str">
        <f>HYPERLINK("http://prodenv.dep.state.fl.us/DepNexus/public/electronic-documents/OG_1017/facility!search","OG_1017_Docs")</f>
        <v>OG_1017_Docs</v>
      </c>
      <c r="E1069" s="57" t="str">
        <f>HYPERLINK("https://ca.dep.state.fl.us/mapdirect/?focus=oilandgas&amp;zoom=query&amp;querytype=oilandgas&amp;queryvalues=OG_1017","OG_1017_Map")</f>
        <v>OG_1017_Map</v>
      </c>
      <c r="F1069" s="1" t="s">
        <v>1752</v>
      </c>
      <c r="G1069" s="1" t="s">
        <v>11251</v>
      </c>
      <c r="H1069" s="1" t="s">
        <v>12149</v>
      </c>
      <c r="I1069" s="1" t="s">
        <v>12662</v>
      </c>
      <c r="J1069" s="17" t="s">
        <v>207</v>
      </c>
      <c r="K1069" s="17" t="s">
        <v>208</v>
      </c>
      <c r="L1069" s="17"/>
      <c r="M1069" s="17" t="s">
        <v>207</v>
      </c>
      <c r="N1069" s="52" t="s">
        <v>207</v>
      </c>
      <c r="O1069" s="17" t="s">
        <v>86</v>
      </c>
      <c r="P1069" s="17" t="s">
        <v>86</v>
      </c>
      <c r="Q1069" s="81" t="s">
        <v>12663</v>
      </c>
      <c r="R1069" s="11">
        <v>26.553038000000001</v>
      </c>
      <c r="S1069" s="11">
        <v>-81.502824000000004</v>
      </c>
      <c r="T1069" s="11" t="s">
        <v>12664</v>
      </c>
      <c r="U1069" s="11" t="s">
        <v>12665</v>
      </c>
      <c r="V1069" s="17" t="s">
        <v>12666</v>
      </c>
      <c r="W1069" s="17" t="s">
        <v>110</v>
      </c>
      <c r="X1069" s="70"/>
      <c r="Y1069" s="70"/>
      <c r="Z1069" s="13">
        <v>29417</v>
      </c>
      <c r="AA1069" s="13"/>
      <c r="AB1069" s="13"/>
      <c r="AC1069" s="13"/>
      <c r="AD1069" s="86"/>
      <c r="AE1069" s="70"/>
      <c r="AF1069" s="70" t="s">
        <v>207</v>
      </c>
      <c r="AG1069" s="14" t="s">
        <v>207</v>
      </c>
      <c r="AH1069" s="14" t="s">
        <v>207</v>
      </c>
      <c r="AI1069" s="70" t="s">
        <v>207</v>
      </c>
      <c r="AJ1069" s="14" t="s">
        <v>207</v>
      </c>
      <c r="AK1069" s="14" t="s">
        <v>207</v>
      </c>
      <c r="AL1069" s="14" t="s">
        <v>207</v>
      </c>
      <c r="AM1069" s="14" t="s">
        <v>207</v>
      </c>
      <c r="AN1069" s="14" t="s">
        <v>207</v>
      </c>
      <c r="AO1069" s="14" t="s">
        <v>207</v>
      </c>
      <c r="AP1069" s="14" t="s">
        <v>207</v>
      </c>
      <c r="AQ1069" s="14" t="s">
        <v>207</v>
      </c>
      <c r="AR1069" s="14" t="s">
        <v>207</v>
      </c>
      <c r="AS1069" s="14" t="s">
        <v>207</v>
      </c>
      <c r="AT1069" s="14" t="s">
        <v>207</v>
      </c>
      <c r="AU1069" s="30" t="s">
        <v>12667</v>
      </c>
      <c r="AV1069" s="14" t="s">
        <v>207</v>
      </c>
      <c r="AW1069" s="74"/>
      <c r="AX1069" s="1"/>
      <c r="AY1069" s="17" t="s">
        <v>101</v>
      </c>
    </row>
    <row r="1070" spans="1:51" ht="12.75" customHeight="1" x14ac:dyDescent="0.25">
      <c r="A1070" s="5">
        <v>1018</v>
      </c>
      <c r="B1070" s="9">
        <v>1018</v>
      </c>
      <c r="C1070" s="9" t="s">
        <v>12668</v>
      </c>
      <c r="D1070" s="57" t="str">
        <f>HYPERLINK("http://prodenv.dep.state.fl.us/DepNexus/public/electronic-documents/OG_1018/facility!search","OG_1018_Docs")</f>
        <v>OG_1018_Docs</v>
      </c>
      <c r="E1070" s="57" t="str">
        <f>HYPERLINK("https://ca.dep.state.fl.us/mapdirect/?focus=oilandgas&amp;zoom=query&amp;querytype=oilandgas&amp;queryvalues=OG_1018","OG_1018_Map")</f>
        <v>OG_1018_Map</v>
      </c>
      <c r="F1070" s="1" t="s">
        <v>1752</v>
      </c>
      <c r="G1070" s="1" t="s">
        <v>11251</v>
      </c>
      <c r="H1070" s="1" t="s">
        <v>12149</v>
      </c>
      <c r="I1070" s="1" t="s">
        <v>12669</v>
      </c>
      <c r="J1070" s="17" t="s">
        <v>207</v>
      </c>
      <c r="K1070" s="17" t="s">
        <v>208</v>
      </c>
      <c r="L1070" s="17"/>
      <c r="M1070" s="17" t="s">
        <v>207</v>
      </c>
      <c r="N1070" s="52" t="s">
        <v>207</v>
      </c>
      <c r="O1070" s="17" t="s">
        <v>86</v>
      </c>
      <c r="P1070" s="17" t="s">
        <v>86</v>
      </c>
      <c r="Q1070" s="81" t="s">
        <v>12670</v>
      </c>
      <c r="R1070" s="11">
        <v>26.546175000000002</v>
      </c>
      <c r="S1070" s="11">
        <v>-81.509759000000003</v>
      </c>
      <c r="T1070" s="11" t="s">
        <v>12671</v>
      </c>
      <c r="U1070" s="11" t="s">
        <v>12672</v>
      </c>
      <c r="V1070" s="17" t="s">
        <v>12673</v>
      </c>
      <c r="W1070" s="17" t="s">
        <v>110</v>
      </c>
      <c r="X1070" s="70"/>
      <c r="Y1070" s="70"/>
      <c r="Z1070" s="13">
        <v>29417</v>
      </c>
      <c r="AA1070" s="13"/>
      <c r="AB1070" s="13"/>
      <c r="AC1070" s="13"/>
      <c r="AD1070" s="86"/>
      <c r="AE1070" s="70"/>
      <c r="AF1070" s="70" t="s">
        <v>207</v>
      </c>
      <c r="AG1070" s="14" t="s">
        <v>207</v>
      </c>
      <c r="AH1070" s="14" t="s">
        <v>207</v>
      </c>
      <c r="AI1070" s="70" t="s">
        <v>207</v>
      </c>
      <c r="AJ1070" s="14" t="s">
        <v>207</v>
      </c>
      <c r="AK1070" s="14" t="s">
        <v>207</v>
      </c>
      <c r="AL1070" s="14" t="s">
        <v>207</v>
      </c>
      <c r="AM1070" s="14" t="s">
        <v>207</v>
      </c>
      <c r="AN1070" s="14" t="s">
        <v>207</v>
      </c>
      <c r="AO1070" s="14" t="s">
        <v>207</v>
      </c>
      <c r="AP1070" s="14" t="s">
        <v>207</v>
      </c>
      <c r="AQ1070" s="14" t="s">
        <v>207</v>
      </c>
      <c r="AR1070" s="14" t="s">
        <v>207</v>
      </c>
      <c r="AS1070" s="14" t="s">
        <v>207</v>
      </c>
      <c r="AT1070" s="14" t="s">
        <v>207</v>
      </c>
      <c r="AU1070" s="30" t="s">
        <v>12674</v>
      </c>
      <c r="AV1070" s="14" t="s">
        <v>207</v>
      </c>
      <c r="AW1070" s="74"/>
      <c r="AX1070" s="1"/>
      <c r="AY1070" s="17" t="s">
        <v>101</v>
      </c>
    </row>
    <row r="1071" spans="1:51" ht="12.75" customHeight="1" x14ac:dyDescent="0.25">
      <c r="A1071" s="5">
        <v>1019</v>
      </c>
      <c r="B1071" s="9">
        <v>1019</v>
      </c>
      <c r="C1071" s="9" t="s">
        <v>12675</v>
      </c>
      <c r="D1071" s="57" t="str">
        <f>HYPERLINK("http://prodenv.dep.state.fl.us/DepNexus/public/electronic-documents/OG_1019/facility!search","OG_1019_Docs")</f>
        <v>OG_1019_Docs</v>
      </c>
      <c r="E1071" s="57" t="str">
        <f>HYPERLINK("https://ca.dep.state.fl.us/mapdirect/?focus=oilandgas&amp;zoom=query&amp;querytype=oilandgas&amp;queryvalues=OG_1019","OG_1019_Map")</f>
        <v>OG_1019_Map</v>
      </c>
      <c r="F1071" s="1" t="s">
        <v>2026</v>
      </c>
      <c r="G1071" s="1" t="s">
        <v>9085</v>
      </c>
      <c r="H1071" s="1" t="s">
        <v>1363</v>
      </c>
      <c r="I1071" s="1" t="s">
        <v>10213</v>
      </c>
      <c r="J1071" s="17" t="s">
        <v>1365</v>
      </c>
      <c r="K1071" s="17" t="s">
        <v>6189</v>
      </c>
      <c r="L1071" s="17"/>
      <c r="M1071" s="17"/>
      <c r="N1071" s="52" t="s">
        <v>12676</v>
      </c>
      <c r="O1071" s="17" t="s">
        <v>86</v>
      </c>
      <c r="P1071" s="17" t="s">
        <v>86</v>
      </c>
      <c r="Q1071" s="81" t="s">
        <v>9088</v>
      </c>
      <c r="R1071" s="11">
        <v>26.631544999999999</v>
      </c>
      <c r="S1071" s="11">
        <v>-81.700647000000004</v>
      </c>
      <c r="T1071" s="11" t="s">
        <v>12677</v>
      </c>
      <c r="U1071" s="11" t="s">
        <v>12678</v>
      </c>
      <c r="V1071" s="17" t="s">
        <v>12679</v>
      </c>
      <c r="W1071" s="17" t="s">
        <v>110</v>
      </c>
      <c r="X1071" s="70">
        <v>38</v>
      </c>
      <c r="Y1071" s="70">
        <v>22</v>
      </c>
      <c r="Z1071" s="13">
        <v>29417</v>
      </c>
      <c r="AA1071" s="13">
        <v>29457</v>
      </c>
      <c r="AB1071" s="13">
        <v>29493</v>
      </c>
      <c r="AC1071" s="13"/>
      <c r="AD1071" s="86">
        <v>2092</v>
      </c>
      <c r="AE1071" s="86">
        <v>2092</v>
      </c>
      <c r="AF1071" s="70" t="s">
        <v>12680</v>
      </c>
      <c r="AG1071" s="17" t="s">
        <v>12681</v>
      </c>
      <c r="AH1071" s="17" t="s">
        <v>86</v>
      </c>
      <c r="AI1071" s="70" t="s">
        <v>12682</v>
      </c>
      <c r="AJ1071" s="17" t="s">
        <v>12683</v>
      </c>
      <c r="AK1071" s="17" t="s">
        <v>94</v>
      </c>
      <c r="AL1071" s="17" t="s">
        <v>86</v>
      </c>
      <c r="AM1071" s="17" t="s">
        <v>94</v>
      </c>
      <c r="AN1071" s="17" t="s">
        <v>94</v>
      </c>
      <c r="AO1071" s="17" t="s">
        <v>94</v>
      </c>
      <c r="AP1071" s="17" t="s">
        <v>94</v>
      </c>
      <c r="AQ1071" s="17" t="s">
        <v>94</v>
      </c>
      <c r="AR1071" s="17" t="s">
        <v>94</v>
      </c>
      <c r="AS1071" s="17"/>
      <c r="AT1071" s="17">
        <v>80</v>
      </c>
      <c r="AU1071" s="30" t="s">
        <v>12684</v>
      </c>
      <c r="AV1071" s="14" t="s">
        <v>94</v>
      </c>
      <c r="AW1071" s="74">
        <v>314441</v>
      </c>
      <c r="AX1071" s="1" t="s">
        <v>12685</v>
      </c>
      <c r="AY1071" s="17" t="s">
        <v>101</v>
      </c>
    </row>
    <row r="1072" spans="1:51" ht="12.75" customHeight="1" x14ac:dyDescent="0.25">
      <c r="A1072" s="5">
        <v>1020</v>
      </c>
      <c r="B1072" s="9">
        <v>1020</v>
      </c>
      <c r="C1072" s="9" t="s">
        <v>12686</v>
      </c>
      <c r="D1072" s="57" t="str">
        <f>HYPERLINK("http://prodenv.dep.state.fl.us/DepNexus/public/electronic-documents/OG_1020/facility!search","OG_1020_Docs")</f>
        <v>OG_1020_Docs</v>
      </c>
      <c r="E1072" s="57" t="str">
        <f>HYPERLINK("https://ca.dep.state.fl.us/mapdirect/?focus=oilandgas&amp;zoom=query&amp;querytype=oilandgas&amp;queryvalues=OG_1020","OG_1020_Map")</f>
        <v>OG_1020_Map</v>
      </c>
      <c r="F1072" s="1" t="s">
        <v>265</v>
      </c>
      <c r="G1072" s="1" t="s">
        <v>11251</v>
      </c>
      <c r="H1072" s="1" t="s">
        <v>12149</v>
      </c>
      <c r="I1072" s="1" t="s">
        <v>12687</v>
      </c>
      <c r="J1072" s="17" t="s">
        <v>82</v>
      </c>
      <c r="K1072" s="17" t="s">
        <v>83</v>
      </c>
      <c r="L1072" s="17"/>
      <c r="M1072" s="17"/>
      <c r="N1072" s="52" t="s">
        <v>12688</v>
      </c>
      <c r="O1072" s="17" t="s">
        <v>86</v>
      </c>
      <c r="P1072" s="17" t="s">
        <v>86</v>
      </c>
      <c r="Q1072" s="81" t="s">
        <v>12689</v>
      </c>
      <c r="R1072" s="11">
        <v>26.501584000000001</v>
      </c>
      <c r="S1072" s="11">
        <v>-81.479414000000006</v>
      </c>
      <c r="T1072" s="11" t="s">
        <v>12690</v>
      </c>
      <c r="U1072" s="11" t="s">
        <v>12691</v>
      </c>
      <c r="V1072" s="17" t="s">
        <v>12692</v>
      </c>
      <c r="W1072" s="17" t="s">
        <v>110</v>
      </c>
      <c r="X1072" s="70">
        <v>53</v>
      </c>
      <c r="Y1072" s="70">
        <v>37</v>
      </c>
      <c r="Z1072" s="13">
        <v>29459</v>
      </c>
      <c r="AA1072" s="13">
        <v>29461</v>
      </c>
      <c r="AB1072" s="13"/>
      <c r="AC1072" s="13">
        <v>29498</v>
      </c>
      <c r="AD1072" s="86">
        <v>11687</v>
      </c>
      <c r="AE1072" s="86">
        <v>11687</v>
      </c>
      <c r="AF1072" s="70" t="s">
        <v>12693</v>
      </c>
      <c r="AG1072" s="17" t="s">
        <v>12694</v>
      </c>
      <c r="AH1072" s="17" t="s">
        <v>12695</v>
      </c>
      <c r="AI1072" s="70" t="s">
        <v>94</v>
      </c>
      <c r="AJ1072" s="17" t="s">
        <v>94</v>
      </c>
      <c r="AK1072" s="17" t="s">
        <v>95</v>
      </c>
      <c r="AL1072" s="17" t="s">
        <v>12696</v>
      </c>
      <c r="AM1072" s="17" t="s">
        <v>825</v>
      </c>
      <c r="AN1072" s="17" t="s">
        <v>94</v>
      </c>
      <c r="AO1072" s="17" t="s">
        <v>98</v>
      </c>
      <c r="AP1072" s="17" t="s">
        <v>98</v>
      </c>
      <c r="AQ1072" s="17" t="s">
        <v>98</v>
      </c>
      <c r="AR1072" s="17" t="s">
        <v>94</v>
      </c>
      <c r="AS1072" s="17" t="s">
        <v>12697</v>
      </c>
      <c r="AT1072" s="17">
        <v>170</v>
      </c>
      <c r="AU1072" s="30" t="s">
        <v>12698</v>
      </c>
      <c r="AV1072" s="14">
        <v>14730</v>
      </c>
      <c r="AW1072" s="74"/>
      <c r="AX1072" s="1"/>
      <c r="AY1072" s="17" t="s">
        <v>101</v>
      </c>
    </row>
    <row r="1073" spans="1:51" ht="12.75" customHeight="1" x14ac:dyDescent="0.25">
      <c r="A1073" s="5">
        <v>1021</v>
      </c>
      <c r="B1073" s="9">
        <v>1021</v>
      </c>
      <c r="C1073" s="9" t="s">
        <v>12699</v>
      </c>
      <c r="D1073" s="57" t="str">
        <f>HYPERLINK("http://prodenv.dep.state.fl.us/DepNexus/public/electronic-documents/OG_1021/facility!search","OG_1021_Docs")</f>
        <v>OG_1021_Docs</v>
      </c>
      <c r="E1073" s="57" t="str">
        <f>HYPERLINK("https://ca.dep.state.fl.us/mapdirect/?focus=oilandgas&amp;zoom=query&amp;querytype=oilandgas&amp;queryvalues=OG_1021","OG_1021_Map")</f>
        <v>OG_1021_Map</v>
      </c>
      <c r="F1073" s="1" t="s">
        <v>1797</v>
      </c>
      <c r="G1073" s="1" t="s">
        <v>5133</v>
      </c>
      <c r="H1073" s="1" t="s">
        <v>8261</v>
      </c>
      <c r="I1073" s="1" t="s">
        <v>12700</v>
      </c>
      <c r="J1073" s="17" t="s">
        <v>4294</v>
      </c>
      <c r="K1073" s="17" t="s">
        <v>5292</v>
      </c>
      <c r="L1073" s="17"/>
      <c r="M1073" s="17"/>
      <c r="N1073" s="52" t="s">
        <v>12701</v>
      </c>
      <c r="O1073" s="17" t="s">
        <v>86</v>
      </c>
      <c r="P1073" s="17" t="s">
        <v>86</v>
      </c>
      <c r="Q1073" s="81" t="s">
        <v>5994</v>
      </c>
      <c r="R1073" s="11">
        <v>30.955356999999999</v>
      </c>
      <c r="S1073" s="11">
        <v>-87.177735999999996</v>
      </c>
      <c r="T1073" s="11" t="s">
        <v>12702</v>
      </c>
      <c r="U1073" s="11" t="s">
        <v>12703</v>
      </c>
      <c r="V1073" s="17" t="s">
        <v>12704</v>
      </c>
      <c r="W1073" s="17" t="s">
        <v>12705</v>
      </c>
      <c r="X1073" s="70">
        <v>237</v>
      </c>
      <c r="Y1073" s="70">
        <v>214</v>
      </c>
      <c r="Z1073" s="13">
        <v>29459</v>
      </c>
      <c r="AA1073" s="13">
        <v>29594</v>
      </c>
      <c r="AB1073" s="13">
        <v>29618</v>
      </c>
      <c r="AC1073" s="13"/>
      <c r="AD1073" s="86">
        <v>10423</v>
      </c>
      <c r="AE1073" s="86">
        <v>10423</v>
      </c>
      <c r="AF1073" s="70" t="s">
        <v>11383</v>
      </c>
      <c r="AG1073" s="17" t="s">
        <v>12706</v>
      </c>
      <c r="AH1073" s="17" t="s">
        <v>86</v>
      </c>
      <c r="AI1073" s="70" t="s">
        <v>12707</v>
      </c>
      <c r="AJ1073" s="17" t="s">
        <v>86</v>
      </c>
      <c r="AK1073" s="17" t="s">
        <v>825</v>
      </c>
      <c r="AL1073" s="17" t="s">
        <v>86</v>
      </c>
      <c r="AM1073" s="17" t="s">
        <v>94</v>
      </c>
      <c r="AN1073" s="17" t="s">
        <v>94</v>
      </c>
      <c r="AO1073" s="17" t="s">
        <v>94</v>
      </c>
      <c r="AP1073" s="17" t="s">
        <v>94</v>
      </c>
      <c r="AQ1073" s="17" t="s">
        <v>94</v>
      </c>
      <c r="AR1073" s="17" t="s">
        <v>94</v>
      </c>
      <c r="AS1073" s="17" t="s">
        <v>12708</v>
      </c>
      <c r="AT1073" s="17" t="s">
        <v>94</v>
      </c>
      <c r="AU1073" s="30" t="s">
        <v>12709</v>
      </c>
      <c r="AV1073" s="14">
        <v>14923</v>
      </c>
      <c r="AW1073" s="74"/>
      <c r="AX1073" s="1" t="s">
        <v>12710</v>
      </c>
      <c r="AY1073" s="17" t="s">
        <v>101</v>
      </c>
    </row>
    <row r="1074" spans="1:51" ht="12.75" customHeight="1" x14ac:dyDescent="0.25">
      <c r="A1074" s="5">
        <v>1021.1</v>
      </c>
      <c r="B1074" s="9" t="s">
        <v>12711</v>
      </c>
      <c r="C1074" s="9" t="s">
        <v>12699</v>
      </c>
      <c r="D1074" s="57" t="str">
        <f>HYPERLINK("http://prodenv.dep.state.fl.us/DepNexus/public/electronic-documents/OG_1021/facility!search","OG_1021_Docs")</f>
        <v>OG_1021_Docs</v>
      </c>
      <c r="E1074" s="57" t="str">
        <f>HYPERLINK("https://ca.dep.state.fl.us/mapdirect/?focus=oilandgas&amp;zoom=query&amp;querytype=oilandgas&amp;queryvalues=OG_1021","OG_1021_Map")</f>
        <v>OG_1021_Map</v>
      </c>
      <c r="F1074" s="1" t="s">
        <v>1797</v>
      </c>
      <c r="G1074" s="1" t="s">
        <v>5133</v>
      </c>
      <c r="H1074" s="1" t="s">
        <v>1363</v>
      </c>
      <c r="I1074" s="1" t="s">
        <v>12712</v>
      </c>
      <c r="J1074" s="17" t="s">
        <v>3646</v>
      </c>
      <c r="K1074" s="17" t="s">
        <v>412</v>
      </c>
      <c r="L1074" s="17"/>
      <c r="M1074" s="17"/>
      <c r="N1074" s="52" t="s">
        <v>12713</v>
      </c>
      <c r="O1074" s="17" t="s">
        <v>86</v>
      </c>
      <c r="P1074" s="17" t="s">
        <v>86</v>
      </c>
      <c r="Q1074" s="81" t="s">
        <v>5994</v>
      </c>
      <c r="R1074" s="11">
        <v>30.955597999999998</v>
      </c>
      <c r="S1074" s="11">
        <v>-87.178055000000001</v>
      </c>
      <c r="T1074" s="11" t="s">
        <v>12714</v>
      </c>
      <c r="U1074" s="11" t="s">
        <v>12715</v>
      </c>
      <c r="V1074" s="17" t="s">
        <v>12704</v>
      </c>
      <c r="W1074" s="17" t="s">
        <v>12716</v>
      </c>
      <c r="X1074" s="70">
        <v>237</v>
      </c>
      <c r="Y1074" s="70">
        <v>214</v>
      </c>
      <c r="Z1074" s="13">
        <v>29642</v>
      </c>
      <c r="AA1074" s="13">
        <v>29622</v>
      </c>
      <c r="AB1074" s="13">
        <v>29846</v>
      </c>
      <c r="AC1074" s="13"/>
      <c r="AD1074" s="86">
        <v>15800</v>
      </c>
      <c r="AE1074" s="86">
        <v>15990</v>
      </c>
      <c r="AF1074" s="70" t="s">
        <v>11383</v>
      </c>
      <c r="AG1074" s="17" t="s">
        <v>12717</v>
      </c>
      <c r="AH1074" s="17" t="s">
        <v>86</v>
      </c>
      <c r="AI1074" s="70" t="s">
        <v>12718</v>
      </c>
      <c r="AJ1074" s="17" t="s">
        <v>12719</v>
      </c>
      <c r="AK1074" s="17" t="s">
        <v>825</v>
      </c>
      <c r="AL1074" s="17" t="s">
        <v>12720</v>
      </c>
      <c r="AM1074" s="17" t="s">
        <v>825</v>
      </c>
      <c r="AN1074" s="17" t="s">
        <v>86</v>
      </c>
      <c r="AO1074" s="17" t="s">
        <v>12721</v>
      </c>
      <c r="AP1074" s="17" t="s">
        <v>12722</v>
      </c>
      <c r="AQ1074" s="17" t="s">
        <v>10995</v>
      </c>
      <c r="AR1074" s="17" t="s">
        <v>12723</v>
      </c>
      <c r="AS1074" s="17"/>
      <c r="AT1074" s="17"/>
      <c r="AU1074" s="30" t="s">
        <v>12724</v>
      </c>
      <c r="AV1074" s="14">
        <v>14923</v>
      </c>
      <c r="AW1074" s="74">
        <v>309907</v>
      </c>
      <c r="AX1074" s="1" t="s">
        <v>12725</v>
      </c>
      <c r="AY1074" s="17" t="s">
        <v>101</v>
      </c>
    </row>
    <row r="1075" spans="1:51" ht="12.75" customHeight="1" x14ac:dyDescent="0.25">
      <c r="A1075" s="5">
        <v>1022</v>
      </c>
      <c r="B1075" s="9">
        <v>1022</v>
      </c>
      <c r="C1075" s="9" t="s">
        <v>12726</v>
      </c>
      <c r="D1075" s="57" t="str">
        <f>HYPERLINK("http://prodenv.dep.state.fl.us/DepNexus/public/electronic-documents/OG_1022/facility!search","OG_1022_Docs")</f>
        <v>OG_1022_Docs</v>
      </c>
      <c r="E1075" s="57" t="str">
        <f>HYPERLINK("https://ca.dep.state.fl.us/mapdirect/?focus=oilandgas&amp;zoom=query&amp;querytype=oilandgas&amp;queryvalues=OG_1022","OG_1022_Map")</f>
        <v>OG_1022_Map</v>
      </c>
      <c r="F1075" s="1" t="s">
        <v>265</v>
      </c>
      <c r="G1075" s="1" t="s">
        <v>79</v>
      </c>
      <c r="H1075" s="1" t="s">
        <v>12078</v>
      </c>
      <c r="I1075" s="1" t="s">
        <v>12727</v>
      </c>
      <c r="J1075" s="17" t="s">
        <v>82</v>
      </c>
      <c r="K1075" s="17" t="s">
        <v>83</v>
      </c>
      <c r="L1075" s="17"/>
      <c r="M1075" s="17"/>
      <c r="N1075" s="52" t="s">
        <v>12728</v>
      </c>
      <c r="O1075" s="17" t="s">
        <v>270</v>
      </c>
      <c r="P1075" s="17" t="s">
        <v>86</v>
      </c>
      <c r="Q1075" s="81" t="s">
        <v>12729</v>
      </c>
      <c r="R1075" s="11">
        <v>26.287310999999999</v>
      </c>
      <c r="S1075" s="11">
        <v>-81.296887999999996</v>
      </c>
      <c r="T1075" s="11" t="s">
        <v>12730</v>
      </c>
      <c r="U1075" s="11" t="s">
        <v>12731</v>
      </c>
      <c r="V1075" s="17" t="s">
        <v>12732</v>
      </c>
      <c r="W1075" s="17" t="s">
        <v>110</v>
      </c>
      <c r="X1075" s="70">
        <v>39</v>
      </c>
      <c r="Y1075" s="70">
        <v>18</v>
      </c>
      <c r="Z1075" s="13">
        <v>29474</v>
      </c>
      <c r="AA1075" s="13">
        <v>29926</v>
      </c>
      <c r="AB1075" s="13"/>
      <c r="AC1075" s="13">
        <v>29958</v>
      </c>
      <c r="AD1075" s="86">
        <v>12028</v>
      </c>
      <c r="AE1075" s="86">
        <v>12028</v>
      </c>
      <c r="AF1075" s="70" t="s">
        <v>12733</v>
      </c>
      <c r="AG1075" s="17" t="s">
        <v>12734</v>
      </c>
      <c r="AH1075" s="17" t="s">
        <v>12735</v>
      </c>
      <c r="AI1075" s="70" t="s">
        <v>94</v>
      </c>
      <c r="AJ1075" s="17" t="s">
        <v>94</v>
      </c>
      <c r="AK1075" s="17" t="s">
        <v>95</v>
      </c>
      <c r="AL1075" s="17" t="s">
        <v>825</v>
      </c>
      <c r="AM1075" s="17" t="s">
        <v>94</v>
      </c>
      <c r="AN1075" s="17" t="s">
        <v>94</v>
      </c>
      <c r="AO1075" s="17" t="s">
        <v>98</v>
      </c>
      <c r="AP1075" s="17" t="s">
        <v>98</v>
      </c>
      <c r="AQ1075" s="17" t="s">
        <v>98</v>
      </c>
      <c r="AR1075" s="17" t="s">
        <v>94</v>
      </c>
      <c r="AS1075" s="17" t="s">
        <v>12736</v>
      </c>
      <c r="AT1075" s="17">
        <v>182</v>
      </c>
      <c r="AU1075" s="30" t="s">
        <v>12737</v>
      </c>
      <c r="AV1075" s="14">
        <v>15120</v>
      </c>
      <c r="AW1075" s="74"/>
      <c r="AX1075" s="1"/>
      <c r="AY1075" s="17" t="s">
        <v>101</v>
      </c>
    </row>
    <row r="1076" spans="1:51" ht="15" customHeight="1" x14ac:dyDescent="0.25">
      <c r="A1076" s="5">
        <v>1023</v>
      </c>
      <c r="B1076" s="9">
        <v>1023</v>
      </c>
      <c r="C1076" s="9" t="s">
        <v>12738</v>
      </c>
      <c r="D1076" s="57" t="str">
        <f>HYPERLINK("http://prodenv.dep.state.fl.us/DepNexus/public/electronic-documents/OG_1023/facility!search","OG_1023_Docs")</f>
        <v>OG_1023_Docs</v>
      </c>
      <c r="E1076" s="57" t="str">
        <f>HYPERLINK("https://ca.dep.state.fl.us/mapdirect/?focus=oilandgas&amp;zoom=query&amp;querytype=oilandgas&amp;queryvalues=OG_1023","OG_1023_Map")</f>
        <v>OG_1023_Map</v>
      </c>
      <c r="F1076" s="1" t="s">
        <v>265</v>
      </c>
      <c r="G1076" s="1" t="s">
        <v>79</v>
      </c>
      <c r="H1076" s="1" t="s">
        <v>12078</v>
      </c>
      <c r="I1076" s="1" t="s">
        <v>11190</v>
      </c>
      <c r="J1076" s="17" t="s">
        <v>207</v>
      </c>
      <c r="K1076" s="17" t="s">
        <v>208</v>
      </c>
      <c r="L1076" s="17"/>
      <c r="M1076" s="17" t="s">
        <v>207</v>
      </c>
      <c r="N1076" s="52" t="s">
        <v>207</v>
      </c>
      <c r="O1076" s="17" t="s">
        <v>270</v>
      </c>
      <c r="P1076" s="17" t="s">
        <v>86</v>
      </c>
      <c r="Q1076" s="81" t="s">
        <v>12739</v>
      </c>
      <c r="R1076" s="11">
        <v>26.288105000000002</v>
      </c>
      <c r="S1076" s="11">
        <v>-81.291917999999995</v>
      </c>
      <c r="T1076" s="11" t="s">
        <v>12740</v>
      </c>
      <c r="U1076" s="11" t="s">
        <v>12741</v>
      </c>
      <c r="V1076" s="17" t="s">
        <v>12742</v>
      </c>
      <c r="W1076" s="17" t="s">
        <v>110</v>
      </c>
      <c r="X1076" s="71"/>
      <c r="Y1076" s="71"/>
      <c r="Z1076" s="13">
        <v>29474</v>
      </c>
      <c r="AA1076" s="26"/>
      <c r="AB1076" s="26"/>
      <c r="AC1076" s="26"/>
      <c r="AD1076" s="86"/>
      <c r="AE1076" s="71"/>
      <c r="AF1076" s="71" t="s">
        <v>207</v>
      </c>
      <c r="AG1076" s="27" t="s">
        <v>207</v>
      </c>
      <c r="AH1076" s="27" t="s">
        <v>207</v>
      </c>
      <c r="AI1076" s="71" t="s">
        <v>207</v>
      </c>
      <c r="AJ1076" s="27" t="s">
        <v>207</v>
      </c>
      <c r="AK1076" s="27" t="s">
        <v>207</v>
      </c>
      <c r="AL1076" s="27" t="s">
        <v>207</v>
      </c>
      <c r="AM1076" s="27" t="s">
        <v>207</v>
      </c>
      <c r="AN1076" s="27" t="s">
        <v>207</v>
      </c>
      <c r="AO1076" s="27" t="s">
        <v>207</v>
      </c>
      <c r="AP1076" s="27" t="s">
        <v>207</v>
      </c>
      <c r="AQ1076" s="27" t="s">
        <v>207</v>
      </c>
      <c r="AR1076" s="27" t="s">
        <v>207</v>
      </c>
      <c r="AS1076" s="27" t="s">
        <v>207</v>
      </c>
      <c r="AT1076" s="27" t="s">
        <v>207</v>
      </c>
      <c r="AU1076" s="30" t="s">
        <v>12743</v>
      </c>
      <c r="AV1076" s="27" t="s">
        <v>207</v>
      </c>
      <c r="AW1076" s="74"/>
      <c r="AX1076" s="1"/>
      <c r="AY1076" s="17" t="s">
        <v>101</v>
      </c>
    </row>
    <row r="1077" spans="1:51" ht="12.75" customHeight="1" x14ac:dyDescent="0.25">
      <c r="A1077" s="5">
        <v>1024</v>
      </c>
      <c r="B1077" s="9">
        <v>1024</v>
      </c>
      <c r="C1077" s="9" t="s">
        <v>12744</v>
      </c>
      <c r="D1077" s="57" t="str">
        <f>HYPERLINK("http://prodenv.dep.state.fl.us/DepNexus/public/electronic-documents/OG_1024/facility!search","OG_1024_Docs")</f>
        <v>OG_1024_Docs</v>
      </c>
      <c r="E1077" s="57" t="str">
        <f>HYPERLINK("https://ca.dep.state.fl.us/mapdirect/?focus=oilandgas&amp;zoom=query&amp;querytype=oilandgas&amp;queryvalues=OG_1024","OG_1024_Map")</f>
        <v>OG_1024_Map</v>
      </c>
      <c r="F1077" s="1" t="s">
        <v>265</v>
      </c>
      <c r="G1077" s="1" t="s">
        <v>79</v>
      </c>
      <c r="H1077" s="1" t="s">
        <v>8261</v>
      </c>
      <c r="I1077" s="1" t="s">
        <v>12745</v>
      </c>
      <c r="J1077" s="17" t="s">
        <v>207</v>
      </c>
      <c r="K1077" s="17" t="s">
        <v>208</v>
      </c>
      <c r="L1077" s="17"/>
      <c r="M1077" s="17" t="s">
        <v>207</v>
      </c>
      <c r="N1077" s="52" t="s">
        <v>207</v>
      </c>
      <c r="O1077" s="17" t="s">
        <v>270</v>
      </c>
      <c r="P1077" s="17" t="s">
        <v>86</v>
      </c>
      <c r="Q1077" s="81" t="s">
        <v>12746</v>
      </c>
      <c r="R1077" s="11">
        <v>26.262255</v>
      </c>
      <c r="S1077" s="11">
        <v>-81.394227999999998</v>
      </c>
      <c r="T1077" s="11" t="s">
        <v>12747</v>
      </c>
      <c r="U1077" s="11" t="s">
        <v>12748</v>
      </c>
      <c r="V1077" s="17" t="s">
        <v>12749</v>
      </c>
      <c r="W1077" s="17" t="s">
        <v>110</v>
      </c>
      <c r="X1077" s="71"/>
      <c r="Y1077" s="71"/>
      <c r="Z1077" s="13">
        <v>29474</v>
      </c>
      <c r="AA1077" s="26"/>
      <c r="AB1077" s="26"/>
      <c r="AC1077" s="26"/>
      <c r="AD1077" s="86"/>
      <c r="AE1077" s="71"/>
      <c r="AF1077" s="71" t="s">
        <v>207</v>
      </c>
      <c r="AG1077" s="27" t="s">
        <v>207</v>
      </c>
      <c r="AH1077" s="27" t="s">
        <v>207</v>
      </c>
      <c r="AI1077" s="71" t="s">
        <v>207</v>
      </c>
      <c r="AJ1077" s="27" t="s">
        <v>207</v>
      </c>
      <c r="AK1077" s="27" t="s">
        <v>207</v>
      </c>
      <c r="AL1077" s="27" t="s">
        <v>207</v>
      </c>
      <c r="AM1077" s="27" t="s">
        <v>207</v>
      </c>
      <c r="AN1077" s="27" t="s">
        <v>207</v>
      </c>
      <c r="AO1077" s="27" t="s">
        <v>207</v>
      </c>
      <c r="AP1077" s="27" t="s">
        <v>207</v>
      </c>
      <c r="AQ1077" s="27" t="s">
        <v>207</v>
      </c>
      <c r="AR1077" s="27" t="s">
        <v>207</v>
      </c>
      <c r="AS1077" s="27" t="s">
        <v>207</v>
      </c>
      <c r="AT1077" s="27" t="s">
        <v>207</v>
      </c>
      <c r="AU1077" s="30" t="s">
        <v>12750</v>
      </c>
      <c r="AV1077" s="27" t="s">
        <v>207</v>
      </c>
      <c r="AW1077" s="74"/>
      <c r="AX1077" s="1"/>
      <c r="AY1077" s="17" t="s">
        <v>101</v>
      </c>
    </row>
    <row r="1078" spans="1:51" ht="12.75" customHeight="1" x14ac:dyDescent="0.25">
      <c r="A1078" s="5">
        <v>1025</v>
      </c>
      <c r="B1078" s="9">
        <v>1025</v>
      </c>
      <c r="C1078" s="9" t="s">
        <v>12751</v>
      </c>
      <c r="D1078" s="57" t="str">
        <f>HYPERLINK("http://prodenv.dep.state.fl.us/DepNexus/public/electronic-documents/OG_1025/facility!search","OG_1025_Docs")</f>
        <v>OG_1025_Docs</v>
      </c>
      <c r="E1078" s="57" t="str">
        <f>HYPERLINK("https://ca.dep.state.fl.us/mapdirect/?focus=oilandgas&amp;zoom=query&amp;querytype=oilandgas&amp;queryvalues=OG_1025","OG_1025_Map")</f>
        <v>OG_1025_Map</v>
      </c>
      <c r="F1078" s="1" t="s">
        <v>265</v>
      </c>
      <c r="G1078" s="1" t="s">
        <v>79</v>
      </c>
      <c r="H1078" s="1" t="s">
        <v>8261</v>
      </c>
      <c r="I1078" s="1" t="s">
        <v>4212</v>
      </c>
      <c r="J1078" s="17" t="s">
        <v>82</v>
      </c>
      <c r="K1078" s="17" t="s">
        <v>83</v>
      </c>
      <c r="L1078" s="17"/>
      <c r="M1078" s="17"/>
      <c r="N1078" s="52" t="s">
        <v>12752</v>
      </c>
      <c r="O1078" s="17" t="s">
        <v>270</v>
      </c>
      <c r="P1078" s="17" t="s">
        <v>86</v>
      </c>
      <c r="Q1078" s="81" t="s">
        <v>12753</v>
      </c>
      <c r="R1078" s="11">
        <v>26.423076999999999</v>
      </c>
      <c r="S1078" s="11">
        <v>-81.332447999999999</v>
      </c>
      <c r="T1078" s="11" t="s">
        <v>12754</v>
      </c>
      <c r="U1078" s="11" t="s">
        <v>12755</v>
      </c>
      <c r="V1078" s="17" t="s">
        <v>5953</v>
      </c>
      <c r="W1078" s="17" t="s">
        <v>110</v>
      </c>
      <c r="X1078" s="70">
        <v>42</v>
      </c>
      <c r="Y1078" s="70">
        <v>27</v>
      </c>
      <c r="Z1078" s="13">
        <v>29487</v>
      </c>
      <c r="AA1078" s="13">
        <v>29521</v>
      </c>
      <c r="AB1078" s="13"/>
      <c r="AC1078" s="13">
        <v>29558</v>
      </c>
      <c r="AD1078" s="86">
        <v>11846</v>
      </c>
      <c r="AE1078" s="86">
        <v>11846</v>
      </c>
      <c r="AF1078" s="70" t="s">
        <v>12214</v>
      </c>
      <c r="AG1078" s="17" t="s">
        <v>12756</v>
      </c>
      <c r="AH1078" s="17" t="s">
        <v>12757</v>
      </c>
      <c r="AI1078" s="70" t="s">
        <v>94</v>
      </c>
      <c r="AJ1078" s="17" t="s">
        <v>94</v>
      </c>
      <c r="AK1078" s="17" t="s">
        <v>95</v>
      </c>
      <c r="AL1078" s="17" t="s">
        <v>12758</v>
      </c>
      <c r="AM1078" s="17" t="s">
        <v>825</v>
      </c>
      <c r="AN1078" s="17" t="s">
        <v>94</v>
      </c>
      <c r="AO1078" s="17" t="s">
        <v>98</v>
      </c>
      <c r="AP1078" s="17" t="s">
        <v>98</v>
      </c>
      <c r="AQ1078" s="17" t="s">
        <v>98</v>
      </c>
      <c r="AR1078" s="17" t="s">
        <v>94</v>
      </c>
      <c r="AS1078" s="17" t="s">
        <v>12759</v>
      </c>
      <c r="AT1078" s="17">
        <v>167</v>
      </c>
      <c r="AU1078" s="30" t="s">
        <v>12760</v>
      </c>
      <c r="AV1078" s="14">
        <v>14792</v>
      </c>
      <c r="AW1078" s="74"/>
      <c r="AX1078" s="1"/>
      <c r="AY1078" s="17" t="s">
        <v>101</v>
      </c>
    </row>
    <row r="1079" spans="1:51" ht="12.75" customHeight="1" x14ac:dyDescent="0.25">
      <c r="A1079" s="5">
        <v>1026</v>
      </c>
      <c r="B1079" s="9">
        <v>1026</v>
      </c>
      <c r="C1079" s="9" t="s">
        <v>12761</v>
      </c>
      <c r="D1079" s="57" t="str">
        <f>HYPERLINK("http://prodenv.dep.state.fl.us/DepNexus/public/electronic-documents/OG_1026/facility!search","OG_1026_Docs")</f>
        <v>OG_1026_Docs</v>
      </c>
      <c r="E1079" s="57" t="str">
        <f>HYPERLINK("https://ca.dep.state.fl.us/mapdirect/?focus=oilandgas&amp;zoom=query&amp;querytype=oilandgas&amp;queryvalues=OG_1026","OG_1026_Map")</f>
        <v>OG_1026_Map</v>
      </c>
      <c r="F1079" s="1" t="s">
        <v>1752</v>
      </c>
      <c r="G1079" s="1" t="s">
        <v>79</v>
      </c>
      <c r="H1079" s="1" t="s">
        <v>12149</v>
      </c>
      <c r="I1079" s="1" t="s">
        <v>12762</v>
      </c>
      <c r="J1079" s="17" t="s">
        <v>82</v>
      </c>
      <c r="K1079" s="17" t="s">
        <v>83</v>
      </c>
      <c r="L1079" s="17"/>
      <c r="M1079" s="17" t="s">
        <v>101</v>
      </c>
      <c r="N1079" s="52" t="s">
        <v>12763</v>
      </c>
      <c r="O1079" s="17" t="s">
        <v>86</v>
      </c>
      <c r="P1079" s="17" t="s">
        <v>86</v>
      </c>
      <c r="Q1079" s="81" t="s">
        <v>12764</v>
      </c>
      <c r="R1079" s="11">
        <v>26.532052</v>
      </c>
      <c r="S1079" s="11">
        <v>-81.367666</v>
      </c>
      <c r="T1079" s="11" t="s">
        <v>12765</v>
      </c>
      <c r="U1079" s="11" t="s">
        <v>12766</v>
      </c>
      <c r="V1079" s="17" t="s">
        <v>12767</v>
      </c>
      <c r="W1079" s="17" t="s">
        <v>110</v>
      </c>
      <c r="X1079" s="70">
        <v>40</v>
      </c>
      <c r="Y1079" s="70">
        <v>30</v>
      </c>
      <c r="Z1079" s="13">
        <v>29505</v>
      </c>
      <c r="AA1079" s="13">
        <v>29505</v>
      </c>
      <c r="AB1079" s="13"/>
      <c r="AC1079" s="13">
        <v>29541</v>
      </c>
      <c r="AD1079" s="86">
        <v>11696</v>
      </c>
      <c r="AE1079" s="86">
        <v>11696</v>
      </c>
      <c r="AF1079" s="70" t="s">
        <v>12768</v>
      </c>
      <c r="AG1079" s="17" t="s">
        <v>12769</v>
      </c>
      <c r="AH1079" s="17" t="s">
        <v>12770</v>
      </c>
      <c r="AI1079" s="70" t="s">
        <v>94</v>
      </c>
      <c r="AJ1079" s="17" t="s">
        <v>94</v>
      </c>
      <c r="AK1079" s="17" t="s">
        <v>95</v>
      </c>
      <c r="AL1079" s="17" t="s">
        <v>12771</v>
      </c>
      <c r="AM1079" s="17" t="s">
        <v>825</v>
      </c>
      <c r="AN1079" s="17" t="s">
        <v>94</v>
      </c>
      <c r="AO1079" s="17" t="s">
        <v>98</v>
      </c>
      <c r="AP1079" s="17" t="s">
        <v>98</v>
      </c>
      <c r="AQ1079" s="17" t="s">
        <v>98</v>
      </c>
      <c r="AR1079" s="17" t="s">
        <v>94</v>
      </c>
      <c r="AS1079" s="17" t="s">
        <v>12772</v>
      </c>
      <c r="AT1079" s="17">
        <v>162</v>
      </c>
      <c r="AU1079" s="30" t="s">
        <v>12773</v>
      </c>
      <c r="AV1079" s="14">
        <v>14777</v>
      </c>
      <c r="AW1079" s="74"/>
      <c r="AX1079" s="1"/>
      <c r="AY1079" s="17" t="s">
        <v>101</v>
      </c>
    </row>
    <row r="1080" spans="1:51" ht="12.75" customHeight="1" x14ac:dyDescent="0.25">
      <c r="A1080" s="5">
        <v>1027</v>
      </c>
      <c r="B1080" s="9">
        <v>1027</v>
      </c>
      <c r="C1080" s="9" t="s">
        <v>12774</v>
      </c>
      <c r="D1080" s="57" t="str">
        <f>HYPERLINK("http://prodenv.dep.state.fl.us/DepNexus/public/electronic-documents/OG_1027/facility!search","OG_1027_Docs")</f>
        <v>OG_1027_Docs</v>
      </c>
      <c r="E1080" s="57" t="str">
        <f>HYPERLINK("https://ca.dep.state.fl.us/mapdirect/?focus=oilandgas&amp;zoom=query&amp;querytype=oilandgas&amp;queryvalues=OG_1027","OG_1027_Map")</f>
        <v>OG_1027_Map</v>
      </c>
      <c r="F1080" s="1" t="s">
        <v>1682</v>
      </c>
      <c r="G1080" s="1" t="s">
        <v>79</v>
      </c>
      <c r="H1080" s="1" t="s">
        <v>12775</v>
      </c>
      <c r="I1080" s="1" t="s">
        <v>12776</v>
      </c>
      <c r="J1080" s="17" t="s">
        <v>82</v>
      </c>
      <c r="K1080" s="17" t="s">
        <v>83</v>
      </c>
      <c r="L1080" s="17"/>
      <c r="M1080" s="17"/>
      <c r="N1080" s="52" t="s">
        <v>12777</v>
      </c>
      <c r="O1080" s="17" t="s">
        <v>86</v>
      </c>
      <c r="P1080" s="17" t="s">
        <v>86</v>
      </c>
      <c r="Q1080" s="81" t="s">
        <v>12778</v>
      </c>
      <c r="R1080" s="11">
        <v>30.811444000000002</v>
      </c>
      <c r="S1080" s="11">
        <v>-87.511688000000007</v>
      </c>
      <c r="T1080" s="11" t="s">
        <v>12779</v>
      </c>
      <c r="U1080" s="11" t="s">
        <v>12780</v>
      </c>
      <c r="V1080" s="17" t="s">
        <v>12781</v>
      </c>
      <c r="W1080" s="17" t="s">
        <v>110</v>
      </c>
      <c r="X1080" s="70">
        <v>256</v>
      </c>
      <c r="Y1080" s="70">
        <v>223</v>
      </c>
      <c r="Z1080" s="13">
        <v>29515</v>
      </c>
      <c r="AA1080" s="13">
        <v>29625</v>
      </c>
      <c r="AB1080" s="13"/>
      <c r="AC1080" s="13">
        <v>29824</v>
      </c>
      <c r="AD1080" s="86">
        <v>17950</v>
      </c>
      <c r="AE1080" s="86">
        <v>17950</v>
      </c>
      <c r="AF1080" s="70" t="s">
        <v>12782</v>
      </c>
      <c r="AG1080" s="17" t="s">
        <v>12783</v>
      </c>
      <c r="AH1080" s="17" t="s">
        <v>12784</v>
      </c>
      <c r="AI1080" s="70" t="s">
        <v>12785</v>
      </c>
      <c r="AJ1080" s="17" t="s">
        <v>94</v>
      </c>
      <c r="AK1080" s="17" t="s">
        <v>95</v>
      </c>
      <c r="AL1080" s="17" t="s">
        <v>12786</v>
      </c>
      <c r="AM1080" s="17" t="s">
        <v>825</v>
      </c>
      <c r="AN1080" s="17" t="s">
        <v>12787</v>
      </c>
      <c r="AO1080" s="17" t="s">
        <v>12788</v>
      </c>
      <c r="AP1080" s="17" t="s">
        <v>12789</v>
      </c>
      <c r="AQ1080" s="17" t="s">
        <v>12790</v>
      </c>
      <c r="AR1080" s="17" t="s">
        <v>12787</v>
      </c>
      <c r="AS1080" s="17" t="s">
        <v>12791</v>
      </c>
      <c r="AT1080" s="17">
        <v>280</v>
      </c>
      <c r="AU1080" s="30" t="s">
        <v>12792</v>
      </c>
      <c r="AV1080" s="14">
        <v>15013</v>
      </c>
      <c r="AW1080" s="74"/>
      <c r="AX1080" s="1"/>
      <c r="AY1080" s="17" t="s">
        <v>101</v>
      </c>
    </row>
    <row r="1081" spans="1:51" ht="12.75" customHeight="1" x14ac:dyDescent="0.25">
      <c r="A1081" s="5">
        <v>1028</v>
      </c>
      <c r="B1081" s="9">
        <v>1028</v>
      </c>
      <c r="C1081" s="9" t="s">
        <v>12793</v>
      </c>
      <c r="D1081" s="57" t="str">
        <f>HYPERLINK("http://prodenv.dep.state.fl.us/DepNexus/public/electronic-documents/OG_1028/facility!search","OG_1028_Docs")</f>
        <v>OG_1028_Docs</v>
      </c>
      <c r="E1081" s="57" t="str">
        <f>HYPERLINK("https://ca.dep.state.fl.us/mapdirect/?focus=oilandgas&amp;zoom=query&amp;querytype=oilandgas&amp;queryvalues=OG_1028","OG_1028_Map")</f>
        <v>OG_1028_Map</v>
      </c>
      <c r="F1081" s="1" t="s">
        <v>2026</v>
      </c>
      <c r="G1081" s="1" t="s">
        <v>4496</v>
      </c>
      <c r="H1081" s="1" t="s">
        <v>8261</v>
      </c>
      <c r="I1081" s="1" t="s">
        <v>12794</v>
      </c>
      <c r="J1081" s="17" t="s">
        <v>82</v>
      </c>
      <c r="K1081" s="17" t="s">
        <v>83</v>
      </c>
      <c r="L1081" s="17"/>
      <c r="M1081" s="17"/>
      <c r="N1081" s="52" t="s">
        <v>12795</v>
      </c>
      <c r="O1081" s="17" t="s">
        <v>86</v>
      </c>
      <c r="P1081" s="17" t="s">
        <v>86</v>
      </c>
      <c r="Q1081" s="81" t="s">
        <v>12796</v>
      </c>
      <c r="R1081" s="11">
        <v>26.581153</v>
      </c>
      <c r="S1081" s="11">
        <v>-81.614144999999994</v>
      </c>
      <c r="T1081" s="11" t="s">
        <v>9532</v>
      </c>
      <c r="U1081" s="11" t="s">
        <v>9533</v>
      </c>
      <c r="V1081" s="17" t="s">
        <v>12797</v>
      </c>
      <c r="W1081" s="17" t="s">
        <v>12798</v>
      </c>
      <c r="X1081" s="70">
        <v>53</v>
      </c>
      <c r="Y1081" s="70">
        <v>30</v>
      </c>
      <c r="Z1081" s="13">
        <v>29543</v>
      </c>
      <c r="AA1081" s="13">
        <v>29609</v>
      </c>
      <c r="AB1081" s="13"/>
      <c r="AC1081" s="13">
        <v>29653</v>
      </c>
      <c r="AD1081" s="86">
        <v>11567</v>
      </c>
      <c r="AE1081" s="70">
        <v>12470</v>
      </c>
      <c r="AF1081" s="70" t="s">
        <v>12799</v>
      </c>
      <c r="AG1081" s="17" t="s">
        <v>12800</v>
      </c>
      <c r="AH1081" s="17" t="s">
        <v>12801</v>
      </c>
      <c r="AI1081" s="70" t="s">
        <v>94</v>
      </c>
      <c r="AJ1081" s="17" t="s">
        <v>94</v>
      </c>
      <c r="AK1081" s="17" t="s">
        <v>95</v>
      </c>
      <c r="AL1081" s="17" t="s">
        <v>12802</v>
      </c>
      <c r="AM1081" s="17" t="s">
        <v>825</v>
      </c>
      <c r="AN1081" s="17" t="s">
        <v>94</v>
      </c>
      <c r="AO1081" s="17" t="s">
        <v>98</v>
      </c>
      <c r="AP1081" s="17" t="s">
        <v>98</v>
      </c>
      <c r="AQ1081" s="17" t="s">
        <v>98</v>
      </c>
      <c r="AR1081" s="17" t="s">
        <v>94</v>
      </c>
      <c r="AS1081" s="17" t="s">
        <v>12803</v>
      </c>
      <c r="AT1081" s="17">
        <v>184</v>
      </c>
      <c r="AU1081" s="30" t="s">
        <v>12804</v>
      </c>
      <c r="AV1081" s="14">
        <v>14877</v>
      </c>
      <c r="AW1081" s="74"/>
      <c r="AX1081" s="1"/>
      <c r="AY1081" s="17" t="s">
        <v>101</v>
      </c>
    </row>
    <row r="1082" spans="1:51" ht="12.75" customHeight="1" x14ac:dyDescent="0.25">
      <c r="A1082" s="5">
        <v>1029</v>
      </c>
      <c r="B1082" s="9">
        <v>1029</v>
      </c>
      <c r="C1082" s="9" t="s">
        <v>12805</v>
      </c>
      <c r="D1082" s="57" t="str">
        <f>HYPERLINK("http://prodenv.dep.state.fl.us/DepNexus/public/electronic-documents/OG_1029/facility!search","OG_1029_Docs")</f>
        <v>OG_1029_Docs</v>
      </c>
      <c r="E1082" s="57" t="str">
        <f>HYPERLINK("https://ca.dep.state.fl.us/mapdirect/?focus=oilandgas&amp;zoom=query&amp;querytype=oilandgas&amp;queryvalues=OG_1029","OG_1029_Map")</f>
        <v>OG_1029_Map</v>
      </c>
      <c r="F1082" s="1" t="s">
        <v>327</v>
      </c>
      <c r="G1082" s="1" t="s">
        <v>79</v>
      </c>
      <c r="H1082" s="1" t="s">
        <v>12806</v>
      </c>
      <c r="I1082" s="1" t="s">
        <v>12807</v>
      </c>
      <c r="J1082" s="17" t="s">
        <v>207</v>
      </c>
      <c r="K1082" s="17" t="s">
        <v>208</v>
      </c>
      <c r="L1082" s="17"/>
      <c r="M1082" s="17" t="s">
        <v>207</v>
      </c>
      <c r="N1082" s="52" t="s">
        <v>207</v>
      </c>
      <c r="O1082" s="17" t="s">
        <v>86</v>
      </c>
      <c r="P1082" s="17" t="s">
        <v>86</v>
      </c>
      <c r="Q1082" s="81" t="s">
        <v>12808</v>
      </c>
      <c r="R1082" s="11">
        <v>28.971634999999999</v>
      </c>
      <c r="S1082" s="11">
        <v>-80.998582999999996</v>
      </c>
      <c r="T1082" s="11" t="s">
        <v>12809</v>
      </c>
      <c r="U1082" s="11" t="s">
        <v>12810</v>
      </c>
      <c r="V1082" s="17" t="s">
        <v>12811</v>
      </c>
      <c r="W1082" s="17" t="s">
        <v>110</v>
      </c>
      <c r="X1082" s="70"/>
      <c r="Y1082" s="70"/>
      <c r="Z1082" s="13">
        <v>29543</v>
      </c>
      <c r="AA1082" s="13"/>
      <c r="AB1082" s="13"/>
      <c r="AC1082" s="13"/>
      <c r="AD1082" s="86"/>
      <c r="AE1082" s="70"/>
      <c r="AF1082" s="70" t="s">
        <v>207</v>
      </c>
      <c r="AG1082" s="14" t="s">
        <v>207</v>
      </c>
      <c r="AH1082" s="14" t="s">
        <v>207</v>
      </c>
      <c r="AI1082" s="70" t="s">
        <v>207</v>
      </c>
      <c r="AJ1082" s="14" t="s">
        <v>207</v>
      </c>
      <c r="AK1082" s="14" t="s">
        <v>207</v>
      </c>
      <c r="AL1082" s="14" t="s">
        <v>207</v>
      </c>
      <c r="AM1082" s="14" t="s">
        <v>207</v>
      </c>
      <c r="AN1082" s="14" t="s">
        <v>207</v>
      </c>
      <c r="AO1082" s="14" t="s">
        <v>207</v>
      </c>
      <c r="AP1082" s="14" t="s">
        <v>207</v>
      </c>
      <c r="AQ1082" s="14" t="s">
        <v>207</v>
      </c>
      <c r="AR1082" s="14" t="s">
        <v>207</v>
      </c>
      <c r="AS1082" s="14" t="s">
        <v>207</v>
      </c>
      <c r="AT1082" s="14" t="s">
        <v>207</v>
      </c>
      <c r="AU1082" s="30" t="s">
        <v>12812</v>
      </c>
      <c r="AV1082" s="14" t="s">
        <v>207</v>
      </c>
      <c r="AW1082" s="74"/>
      <c r="AX1082" s="1"/>
      <c r="AY1082" s="17" t="s">
        <v>101</v>
      </c>
    </row>
    <row r="1083" spans="1:51" ht="12.75" customHeight="1" x14ac:dyDescent="0.25">
      <c r="A1083" s="5">
        <v>1030</v>
      </c>
      <c r="B1083" s="9">
        <v>1030</v>
      </c>
      <c r="C1083" s="9" t="s">
        <v>12813</v>
      </c>
      <c r="D1083" s="57" t="str">
        <f>HYPERLINK("http://prodenv.dep.state.fl.us/DepNexus/public/electronic-documents/OG_1030/facility!search","OG_1030_Docs")</f>
        <v>OG_1030_Docs</v>
      </c>
      <c r="E1083" s="57" t="str">
        <f>HYPERLINK("https://ca.dep.state.fl.us/mapdirect/?focus=oilandgas&amp;zoom=query&amp;querytype=oilandgas&amp;queryvalues=OG_1030","OG_1030_Map")</f>
        <v>OG_1030_Map</v>
      </c>
      <c r="F1083" s="1" t="s">
        <v>265</v>
      </c>
      <c r="G1083" s="1" t="s">
        <v>79</v>
      </c>
      <c r="H1083" s="1" t="s">
        <v>12149</v>
      </c>
      <c r="I1083" s="1" t="s">
        <v>12814</v>
      </c>
      <c r="J1083" s="17" t="s">
        <v>82</v>
      </c>
      <c r="K1083" s="17" t="s">
        <v>83</v>
      </c>
      <c r="L1083" s="17"/>
      <c r="M1083" s="17"/>
      <c r="N1083" s="52" t="s">
        <v>12676</v>
      </c>
      <c r="O1083" s="17" t="s">
        <v>86</v>
      </c>
      <c r="P1083" s="17" t="s">
        <v>86</v>
      </c>
      <c r="Q1083" s="81" t="s">
        <v>12815</v>
      </c>
      <c r="R1083" s="11">
        <v>26.419718</v>
      </c>
      <c r="S1083" s="11">
        <v>-81.563346999999993</v>
      </c>
      <c r="T1083" s="11" t="s">
        <v>12816</v>
      </c>
      <c r="U1083" s="11" t="s">
        <v>12817</v>
      </c>
      <c r="V1083" s="17" t="s">
        <v>12818</v>
      </c>
      <c r="W1083" s="17" t="s">
        <v>12819</v>
      </c>
      <c r="X1083" s="70">
        <v>39</v>
      </c>
      <c r="Y1083" s="70">
        <v>22</v>
      </c>
      <c r="Z1083" s="13">
        <v>29543</v>
      </c>
      <c r="AA1083" s="13">
        <v>29598</v>
      </c>
      <c r="AB1083" s="13"/>
      <c r="AC1083" s="13">
        <v>29680</v>
      </c>
      <c r="AD1083" s="86"/>
      <c r="AE1083" s="86">
        <v>11858</v>
      </c>
      <c r="AF1083" s="70" t="s">
        <v>12820</v>
      </c>
      <c r="AG1083" s="17" t="s">
        <v>12821</v>
      </c>
      <c r="AH1083" s="17" t="s">
        <v>12822</v>
      </c>
      <c r="AI1083" s="70" t="s">
        <v>94</v>
      </c>
      <c r="AJ1083" s="17" t="s">
        <v>94</v>
      </c>
      <c r="AK1083" s="17" t="s">
        <v>95</v>
      </c>
      <c r="AL1083" s="17" t="s">
        <v>12823</v>
      </c>
      <c r="AM1083" s="17" t="s">
        <v>95</v>
      </c>
      <c r="AN1083" s="17" t="s">
        <v>94</v>
      </c>
      <c r="AO1083" s="17" t="s">
        <v>98</v>
      </c>
      <c r="AP1083" s="17" t="s">
        <v>98</v>
      </c>
      <c r="AQ1083" s="17" t="s">
        <v>98</v>
      </c>
      <c r="AR1083" s="17" t="s">
        <v>94</v>
      </c>
      <c r="AS1083" s="17" t="s">
        <v>12824</v>
      </c>
      <c r="AT1083" s="17">
        <v>166</v>
      </c>
      <c r="AU1083" s="30" t="s">
        <v>12825</v>
      </c>
      <c r="AV1083" s="14">
        <v>14891</v>
      </c>
      <c r="AW1083" s="74"/>
      <c r="AX1083" s="1"/>
      <c r="AY1083" s="17" t="s">
        <v>101</v>
      </c>
    </row>
    <row r="1084" spans="1:51" ht="12.75" customHeight="1" x14ac:dyDescent="0.25">
      <c r="A1084" s="5">
        <v>1031</v>
      </c>
      <c r="B1084" s="9">
        <v>1031</v>
      </c>
      <c r="C1084" s="9" t="s">
        <v>12826</v>
      </c>
      <c r="D1084" s="57" t="str">
        <f>HYPERLINK("http://prodenv.dep.state.fl.us/DepNexus/public/electronic-documents/OG_1031/facility!search","OG_1031_Docs")</f>
        <v>OG_1031_Docs</v>
      </c>
      <c r="E1084" s="57" t="str">
        <f>HYPERLINK("https://ca.dep.state.fl.us/mapdirect/?focus=oilandgas&amp;zoom=query&amp;querytype=oilandgas&amp;queryvalues=OG_1031","OG_1031_Map")</f>
        <v>OG_1031_Map</v>
      </c>
      <c r="F1084" s="1" t="s">
        <v>265</v>
      </c>
      <c r="G1084" s="1" t="s">
        <v>10452</v>
      </c>
      <c r="H1084" s="1" t="s">
        <v>12827</v>
      </c>
      <c r="I1084" s="1" t="s">
        <v>12828</v>
      </c>
      <c r="J1084" s="17" t="s">
        <v>5107</v>
      </c>
      <c r="K1084" s="17" t="s">
        <v>412</v>
      </c>
      <c r="L1084" s="17"/>
      <c r="M1084" s="17"/>
      <c r="N1084" s="52" t="s">
        <v>12829</v>
      </c>
      <c r="O1084" s="17" t="s">
        <v>270</v>
      </c>
      <c r="P1084" s="17" t="s">
        <v>3395</v>
      </c>
      <c r="Q1084" s="81" t="s">
        <v>12830</v>
      </c>
      <c r="R1084" s="11">
        <v>25.982589999999998</v>
      </c>
      <c r="S1084" s="11">
        <v>-80.924734999999998</v>
      </c>
      <c r="T1084" s="11" t="s">
        <v>12831</v>
      </c>
      <c r="U1084" s="11" t="s">
        <v>12832</v>
      </c>
      <c r="V1084" s="17" t="s">
        <v>12833</v>
      </c>
      <c r="W1084" s="17" t="s">
        <v>12834</v>
      </c>
      <c r="X1084" s="70">
        <v>37</v>
      </c>
      <c r="Y1084" s="70">
        <v>12</v>
      </c>
      <c r="Z1084" s="13">
        <v>29543</v>
      </c>
      <c r="AA1084" s="13">
        <v>29718</v>
      </c>
      <c r="AB1084" s="13">
        <v>29810</v>
      </c>
      <c r="AC1084" s="13">
        <v>38729</v>
      </c>
      <c r="AD1084" s="86">
        <v>11413</v>
      </c>
      <c r="AE1084" s="70">
        <v>12095</v>
      </c>
      <c r="AF1084" s="70" t="s">
        <v>12214</v>
      </c>
      <c r="AG1084" s="17" t="s">
        <v>12835</v>
      </c>
      <c r="AH1084" s="17" t="s">
        <v>12836</v>
      </c>
      <c r="AI1084" s="70" t="s">
        <v>12837</v>
      </c>
      <c r="AJ1084" s="17" t="s">
        <v>12838</v>
      </c>
      <c r="AK1084" s="17" t="s">
        <v>95</v>
      </c>
      <c r="AL1084" s="17" t="s">
        <v>12839</v>
      </c>
      <c r="AM1084" s="17" t="s">
        <v>825</v>
      </c>
      <c r="AN1084" s="17" t="s">
        <v>86</v>
      </c>
      <c r="AO1084" s="17" t="s">
        <v>12840</v>
      </c>
      <c r="AP1084" s="17" t="s">
        <v>6135</v>
      </c>
      <c r="AQ1084" s="17" t="s">
        <v>12841</v>
      </c>
      <c r="AR1084" s="17" t="s">
        <v>12842</v>
      </c>
      <c r="AS1084" s="17" t="s">
        <v>12843</v>
      </c>
      <c r="AT1084" s="17">
        <v>176</v>
      </c>
      <c r="AU1084" s="30" t="s">
        <v>12844</v>
      </c>
      <c r="AV1084" s="14">
        <v>15012</v>
      </c>
      <c r="AW1084" s="74">
        <v>309920</v>
      </c>
      <c r="AX1084" s="1"/>
      <c r="AY1084" s="17" t="s">
        <v>101</v>
      </c>
    </row>
    <row r="1085" spans="1:51" ht="12.75" customHeight="1" x14ac:dyDescent="0.25">
      <c r="A1085" s="5">
        <v>1032</v>
      </c>
      <c r="B1085" s="9">
        <v>1032</v>
      </c>
      <c r="C1085" s="9" t="s">
        <v>12845</v>
      </c>
      <c r="D1085" s="57" t="str">
        <f>HYPERLINK("http://prodenv.dep.state.fl.us/DepNexus/public/electronic-documents/OG_1032/facility!search","OG_1032_Docs")</f>
        <v>OG_1032_Docs</v>
      </c>
      <c r="E1085" s="57" t="str">
        <f>HYPERLINK("https://ca.dep.state.fl.us/mapdirect/?focus=oilandgas&amp;zoom=query&amp;querytype=oilandgas&amp;queryvalues=OG_1032","OG_1032_Map")</f>
        <v>OG_1032_Map</v>
      </c>
      <c r="F1085" s="1" t="s">
        <v>12846</v>
      </c>
      <c r="G1085" s="1" t="s">
        <v>79</v>
      </c>
      <c r="H1085" s="1" t="s">
        <v>12847</v>
      </c>
      <c r="I1085" s="1" t="s">
        <v>12848</v>
      </c>
      <c r="J1085" s="17" t="s">
        <v>82</v>
      </c>
      <c r="K1085" s="17" t="s">
        <v>83</v>
      </c>
      <c r="L1085" s="17"/>
      <c r="M1085" s="17" t="s">
        <v>84</v>
      </c>
      <c r="N1085" s="52" t="s">
        <v>12849</v>
      </c>
      <c r="O1085" s="17" t="s">
        <v>86</v>
      </c>
      <c r="P1085" s="17" t="s">
        <v>86</v>
      </c>
      <c r="Q1085" s="81" t="s">
        <v>12850</v>
      </c>
      <c r="R1085" s="11">
        <v>27.158877</v>
      </c>
      <c r="S1085" s="11">
        <v>-80.436785999999998</v>
      </c>
      <c r="T1085" s="11" t="s">
        <v>12851</v>
      </c>
      <c r="U1085" s="11" t="s">
        <v>12852</v>
      </c>
      <c r="V1085" s="17" t="s">
        <v>12853</v>
      </c>
      <c r="W1085" s="17" t="s">
        <v>110</v>
      </c>
      <c r="X1085" s="70">
        <v>46</v>
      </c>
      <c r="Y1085" s="70">
        <v>29</v>
      </c>
      <c r="Z1085" s="13">
        <v>29557</v>
      </c>
      <c r="AA1085" s="13">
        <v>29556</v>
      </c>
      <c r="AB1085" s="13"/>
      <c r="AC1085" s="13">
        <v>29735</v>
      </c>
      <c r="AD1085" s="86">
        <v>13198</v>
      </c>
      <c r="AE1085" s="86">
        <v>13198</v>
      </c>
      <c r="AF1085" s="70" t="s">
        <v>12854</v>
      </c>
      <c r="AG1085" s="17" t="s">
        <v>12855</v>
      </c>
      <c r="AH1085" s="17" t="s">
        <v>12856</v>
      </c>
      <c r="AI1085" s="70" t="s">
        <v>94</v>
      </c>
      <c r="AJ1085" s="17" t="s">
        <v>94</v>
      </c>
      <c r="AK1085" s="17" t="s">
        <v>95</v>
      </c>
      <c r="AL1085" s="17" t="s">
        <v>12857</v>
      </c>
      <c r="AM1085" s="17" t="s">
        <v>825</v>
      </c>
      <c r="AN1085" s="17" t="s">
        <v>94</v>
      </c>
      <c r="AO1085" s="17" t="s">
        <v>98</v>
      </c>
      <c r="AP1085" s="17" t="s">
        <v>98</v>
      </c>
      <c r="AQ1085" s="17" t="s">
        <v>98</v>
      </c>
      <c r="AR1085" s="17" t="s">
        <v>94</v>
      </c>
      <c r="AS1085" s="17" t="s">
        <v>12858</v>
      </c>
      <c r="AT1085" s="17">
        <v>194</v>
      </c>
      <c r="AU1085" s="30" t="s">
        <v>12859</v>
      </c>
      <c r="AV1085" s="14">
        <v>14960</v>
      </c>
      <c r="AW1085" s="74"/>
      <c r="AX1085" s="1"/>
      <c r="AY1085" s="17" t="s">
        <v>101</v>
      </c>
    </row>
    <row r="1086" spans="1:51" ht="15" customHeight="1" x14ac:dyDescent="0.25">
      <c r="A1086" s="5">
        <v>1033</v>
      </c>
      <c r="B1086" s="9">
        <v>1033</v>
      </c>
      <c r="C1086" s="9" t="s">
        <v>12860</v>
      </c>
      <c r="D1086" s="57" t="str">
        <f>HYPERLINK("http://prodenv.dep.state.fl.us/DepNexus/public/electronic-documents/OG_1033/facility!search","OG_1033_Docs")</f>
        <v>OG_1033_Docs</v>
      </c>
      <c r="E1086" s="57" t="str">
        <f>HYPERLINK("https://ca.dep.state.fl.us/mapdirect/?focus=oilandgas&amp;zoom=query&amp;querytype=oilandgas&amp;queryvalues=OG_1033","OG_1033_Map")</f>
        <v>OG_1033_Map</v>
      </c>
      <c r="F1086" s="1" t="s">
        <v>12861</v>
      </c>
      <c r="G1086" s="1" t="s">
        <v>79</v>
      </c>
      <c r="H1086" s="1" t="s">
        <v>8093</v>
      </c>
      <c r="I1086" s="1" t="s">
        <v>12862</v>
      </c>
      <c r="J1086" s="17" t="s">
        <v>82</v>
      </c>
      <c r="K1086" s="17" t="s">
        <v>83</v>
      </c>
      <c r="L1086" s="17"/>
      <c r="M1086" s="17" t="s">
        <v>101</v>
      </c>
      <c r="N1086" s="52" t="s">
        <v>12863</v>
      </c>
      <c r="O1086" s="17" t="s">
        <v>86</v>
      </c>
      <c r="P1086" s="17" t="s">
        <v>86</v>
      </c>
      <c r="Q1086" s="81" t="s">
        <v>12864</v>
      </c>
      <c r="R1086" s="11">
        <v>30.300431</v>
      </c>
      <c r="S1086" s="11">
        <v>-83.413222000000005</v>
      </c>
      <c r="T1086" s="11" t="s">
        <v>12865</v>
      </c>
      <c r="U1086" s="11" t="s">
        <v>12866</v>
      </c>
      <c r="V1086" s="17" t="s">
        <v>12867</v>
      </c>
      <c r="W1086" s="17" t="s">
        <v>110</v>
      </c>
      <c r="X1086" s="70">
        <v>21</v>
      </c>
      <c r="Y1086" s="70"/>
      <c r="Z1086" s="13">
        <v>29571</v>
      </c>
      <c r="AA1086" s="13">
        <v>29703</v>
      </c>
      <c r="AB1086" s="13">
        <v>29909</v>
      </c>
      <c r="AC1086" s="13">
        <v>29909</v>
      </c>
      <c r="AD1086" s="86">
        <v>10149</v>
      </c>
      <c r="AE1086" s="86">
        <v>10149</v>
      </c>
      <c r="AF1086" s="70" t="s">
        <v>12868</v>
      </c>
      <c r="AG1086" s="17" t="s">
        <v>12869</v>
      </c>
      <c r="AH1086" s="17" t="s">
        <v>86</v>
      </c>
      <c r="AI1086" s="70" t="s">
        <v>94</v>
      </c>
      <c r="AJ1086" s="17" t="s">
        <v>94</v>
      </c>
      <c r="AK1086" s="17" t="s">
        <v>95</v>
      </c>
      <c r="AL1086" s="17" t="s">
        <v>86</v>
      </c>
      <c r="AM1086" s="17" t="s">
        <v>825</v>
      </c>
      <c r="AN1086" s="17" t="s">
        <v>94</v>
      </c>
      <c r="AO1086" s="17" t="s">
        <v>98</v>
      </c>
      <c r="AP1086" s="17" t="s">
        <v>98</v>
      </c>
      <c r="AQ1086" s="17" t="s">
        <v>98</v>
      </c>
      <c r="AR1086" s="17" t="s">
        <v>94</v>
      </c>
      <c r="AS1086" s="17" t="s">
        <v>12870</v>
      </c>
      <c r="AT1086" s="17" t="s">
        <v>94</v>
      </c>
      <c r="AU1086" s="30" t="s">
        <v>12871</v>
      </c>
      <c r="AV1086" s="14">
        <v>15017</v>
      </c>
      <c r="AW1086" s="74"/>
      <c r="AX1086" s="1"/>
      <c r="AY1086" s="17" t="s">
        <v>101</v>
      </c>
    </row>
    <row r="1087" spans="1:51" ht="12.75" customHeight="1" x14ac:dyDescent="0.25">
      <c r="A1087" s="5">
        <v>1034</v>
      </c>
      <c r="B1087" s="9">
        <v>1034</v>
      </c>
      <c r="C1087" s="9" t="s">
        <v>12872</v>
      </c>
      <c r="D1087" s="57" t="str">
        <f>HYPERLINK("http://prodenv.dep.state.fl.us/DepNexus/public/electronic-documents/OG_1034/facility!search","OG_1034_Docs")</f>
        <v>OG_1034_Docs</v>
      </c>
      <c r="E1087" s="57" t="str">
        <f>HYPERLINK("https://ca.dep.state.fl.us/mapdirect/?focus=oilandgas&amp;zoom=query&amp;querytype=oilandgas&amp;queryvalues=OG_1034","OG_1034_Map")</f>
        <v>OG_1034_Map</v>
      </c>
      <c r="F1087" s="1" t="s">
        <v>265</v>
      </c>
      <c r="G1087" s="1" t="s">
        <v>79</v>
      </c>
      <c r="H1087" s="1" t="s">
        <v>12078</v>
      </c>
      <c r="I1087" s="1" t="s">
        <v>10884</v>
      </c>
      <c r="J1087" s="17" t="s">
        <v>82</v>
      </c>
      <c r="K1087" s="17" t="s">
        <v>83</v>
      </c>
      <c r="L1087" s="17"/>
      <c r="M1087" s="17"/>
      <c r="N1087" s="52" t="s">
        <v>86</v>
      </c>
      <c r="O1087" s="17" t="s">
        <v>270</v>
      </c>
      <c r="P1087" s="17" t="s">
        <v>3395</v>
      </c>
      <c r="Q1087" s="81" t="s">
        <v>10885</v>
      </c>
      <c r="R1087" s="11">
        <v>26.236108000000002</v>
      </c>
      <c r="S1087" s="11">
        <v>-81.225728000000004</v>
      </c>
      <c r="T1087" s="11" t="s">
        <v>12873</v>
      </c>
      <c r="U1087" s="11" t="s">
        <v>12874</v>
      </c>
      <c r="V1087" s="17" t="s">
        <v>12875</v>
      </c>
      <c r="W1087" s="17" t="s">
        <v>110</v>
      </c>
      <c r="X1087" s="70">
        <v>38</v>
      </c>
      <c r="Y1087" s="70">
        <v>17</v>
      </c>
      <c r="Z1087" s="13">
        <v>29571</v>
      </c>
      <c r="AA1087" s="13">
        <v>29964</v>
      </c>
      <c r="AB1087" s="13"/>
      <c r="AC1087" s="13">
        <v>30321</v>
      </c>
      <c r="AD1087" s="86">
        <v>11803</v>
      </c>
      <c r="AE1087" s="86">
        <v>11803</v>
      </c>
      <c r="AF1087" s="70" t="s">
        <v>12876</v>
      </c>
      <c r="AG1087" s="17" t="s">
        <v>12877</v>
      </c>
      <c r="AH1087" s="17" t="s">
        <v>12878</v>
      </c>
      <c r="AI1087" s="70" t="s">
        <v>94</v>
      </c>
      <c r="AJ1087" s="17" t="s">
        <v>94</v>
      </c>
      <c r="AK1087" s="17" t="s">
        <v>95</v>
      </c>
      <c r="AL1087" s="17" t="s">
        <v>12879</v>
      </c>
      <c r="AM1087" s="17" t="s">
        <v>95</v>
      </c>
      <c r="AN1087" s="17" t="s">
        <v>12880</v>
      </c>
      <c r="AO1087" s="17" t="s">
        <v>3366</v>
      </c>
      <c r="AP1087" s="17" t="s">
        <v>12789</v>
      </c>
      <c r="AQ1087" s="17" t="s">
        <v>12881</v>
      </c>
      <c r="AR1087" s="17" t="s">
        <v>94</v>
      </c>
      <c r="AS1087" s="17" t="s">
        <v>12882</v>
      </c>
      <c r="AT1087" s="17">
        <v>177</v>
      </c>
      <c r="AU1087" s="30" t="s">
        <v>12883</v>
      </c>
      <c r="AV1087" s="14">
        <v>15130</v>
      </c>
      <c r="AW1087" s="74"/>
      <c r="AX1087" s="1"/>
      <c r="AY1087" s="17" t="s">
        <v>101</v>
      </c>
    </row>
    <row r="1088" spans="1:51" ht="12.75" customHeight="1" x14ac:dyDescent="0.25">
      <c r="A1088" s="5">
        <v>1035</v>
      </c>
      <c r="B1088" s="9">
        <v>1035</v>
      </c>
      <c r="C1088" s="9" t="s">
        <v>12884</v>
      </c>
      <c r="D1088" s="57" t="str">
        <f>HYPERLINK("http://prodenv.dep.state.fl.us/DepNexus/public/electronic-documents/OG_1035/facility!search","OG_1035_Docs")</f>
        <v>OG_1035_Docs</v>
      </c>
      <c r="E1088" s="57" t="str">
        <f>HYPERLINK("https://ca.dep.state.fl.us/mapdirect/?focus=oilandgas&amp;zoom=query&amp;querytype=oilandgas&amp;queryvalues=OG_1035","OG_1035_Map")</f>
        <v>OG_1035_Map</v>
      </c>
      <c r="F1088" s="1" t="s">
        <v>265</v>
      </c>
      <c r="G1088" s="1" t="s">
        <v>79</v>
      </c>
      <c r="H1088" s="1" t="s">
        <v>12078</v>
      </c>
      <c r="I1088" s="1" t="s">
        <v>12885</v>
      </c>
      <c r="J1088" s="17" t="s">
        <v>207</v>
      </c>
      <c r="K1088" s="17" t="s">
        <v>208</v>
      </c>
      <c r="L1088" s="17"/>
      <c r="M1088" s="17" t="s">
        <v>207</v>
      </c>
      <c r="N1088" s="52" t="s">
        <v>207</v>
      </c>
      <c r="O1088" s="17" t="s">
        <v>270</v>
      </c>
      <c r="P1088" s="17" t="s">
        <v>3395</v>
      </c>
      <c r="Q1088" s="81" t="s">
        <v>12886</v>
      </c>
      <c r="R1088" s="11">
        <v>26.228503</v>
      </c>
      <c r="S1088" s="11">
        <v>-81.216403</v>
      </c>
      <c r="T1088" s="11" t="s">
        <v>12887</v>
      </c>
      <c r="U1088" s="11" t="s">
        <v>12888</v>
      </c>
      <c r="V1088" s="17" t="s">
        <v>12889</v>
      </c>
      <c r="W1088" s="17" t="s">
        <v>110</v>
      </c>
      <c r="X1088" s="70"/>
      <c r="Y1088" s="70"/>
      <c r="Z1088" s="13">
        <v>29571</v>
      </c>
      <c r="AA1088" s="13"/>
      <c r="AB1088" s="13"/>
      <c r="AC1088" s="13"/>
      <c r="AD1088" s="86"/>
      <c r="AE1088" s="70"/>
      <c r="AF1088" s="70" t="s">
        <v>207</v>
      </c>
      <c r="AG1088" s="14" t="s">
        <v>207</v>
      </c>
      <c r="AH1088" s="14" t="s">
        <v>207</v>
      </c>
      <c r="AI1088" s="70" t="s">
        <v>207</v>
      </c>
      <c r="AJ1088" s="14" t="s">
        <v>207</v>
      </c>
      <c r="AK1088" s="14" t="s">
        <v>207</v>
      </c>
      <c r="AL1088" s="14" t="s">
        <v>207</v>
      </c>
      <c r="AM1088" s="14" t="s">
        <v>207</v>
      </c>
      <c r="AN1088" s="14" t="s">
        <v>207</v>
      </c>
      <c r="AO1088" s="14" t="s">
        <v>207</v>
      </c>
      <c r="AP1088" s="14" t="s">
        <v>207</v>
      </c>
      <c r="AQ1088" s="14" t="s">
        <v>207</v>
      </c>
      <c r="AR1088" s="14" t="s">
        <v>207</v>
      </c>
      <c r="AS1088" s="14" t="s">
        <v>207</v>
      </c>
      <c r="AT1088" s="14" t="s">
        <v>207</v>
      </c>
      <c r="AU1088" s="30" t="s">
        <v>12890</v>
      </c>
      <c r="AV1088" s="14" t="s">
        <v>207</v>
      </c>
      <c r="AW1088" s="74"/>
      <c r="AX1088" s="1"/>
      <c r="AY1088" s="17" t="s">
        <v>101</v>
      </c>
    </row>
    <row r="1089" spans="1:51" ht="12.75" customHeight="1" x14ac:dyDescent="0.25">
      <c r="A1089" s="5">
        <v>1036</v>
      </c>
      <c r="B1089" s="9">
        <v>1036</v>
      </c>
      <c r="C1089" s="9" t="s">
        <v>12891</v>
      </c>
      <c r="D1089" s="57" t="str">
        <f>HYPERLINK("http://prodenv.dep.state.fl.us/DepNexus/public/electronic-documents/OG_1036/facility!search","OG_1036_Docs")</f>
        <v>OG_1036_Docs</v>
      </c>
      <c r="E1089" s="57" t="str">
        <f>HYPERLINK("https://ca.dep.state.fl.us/mapdirect/?focus=oilandgas&amp;zoom=query&amp;querytype=oilandgas&amp;queryvalues=OG_1036","OG_1036_Map")</f>
        <v>OG_1036_Map</v>
      </c>
      <c r="F1089" s="1" t="s">
        <v>265</v>
      </c>
      <c r="G1089" s="1" t="s">
        <v>79</v>
      </c>
      <c r="H1089" s="1" t="s">
        <v>12078</v>
      </c>
      <c r="I1089" s="1" t="s">
        <v>12892</v>
      </c>
      <c r="J1089" s="17" t="s">
        <v>207</v>
      </c>
      <c r="K1089" s="17" t="s">
        <v>208</v>
      </c>
      <c r="L1089" s="17"/>
      <c r="M1089" s="17" t="s">
        <v>207</v>
      </c>
      <c r="N1089" s="52" t="s">
        <v>207</v>
      </c>
      <c r="O1089" s="17" t="s">
        <v>270</v>
      </c>
      <c r="P1089" s="17" t="s">
        <v>3395</v>
      </c>
      <c r="Q1089" s="81" t="s">
        <v>12893</v>
      </c>
      <c r="R1089" s="11">
        <v>26.184051</v>
      </c>
      <c r="S1089" s="11">
        <v>-81.215467000000004</v>
      </c>
      <c r="T1089" s="11" t="s">
        <v>12894</v>
      </c>
      <c r="U1089" s="11" t="s">
        <v>12895</v>
      </c>
      <c r="V1089" s="17" t="s">
        <v>12896</v>
      </c>
      <c r="W1089" s="17" t="s">
        <v>110</v>
      </c>
      <c r="X1089" s="70"/>
      <c r="Y1089" s="70"/>
      <c r="Z1089" s="13">
        <v>29571</v>
      </c>
      <c r="AA1089" s="13"/>
      <c r="AB1089" s="13"/>
      <c r="AC1089" s="13"/>
      <c r="AD1089" s="86"/>
      <c r="AE1089" s="70"/>
      <c r="AF1089" s="70" t="s">
        <v>207</v>
      </c>
      <c r="AG1089" s="14" t="s">
        <v>207</v>
      </c>
      <c r="AH1089" s="14" t="s">
        <v>207</v>
      </c>
      <c r="AI1089" s="70" t="s">
        <v>207</v>
      </c>
      <c r="AJ1089" s="14" t="s">
        <v>207</v>
      </c>
      <c r="AK1089" s="14" t="s">
        <v>207</v>
      </c>
      <c r="AL1089" s="14" t="s">
        <v>207</v>
      </c>
      <c r="AM1089" s="14" t="s">
        <v>207</v>
      </c>
      <c r="AN1089" s="14" t="s">
        <v>207</v>
      </c>
      <c r="AO1089" s="14" t="s">
        <v>207</v>
      </c>
      <c r="AP1089" s="14" t="s">
        <v>207</v>
      </c>
      <c r="AQ1089" s="14" t="s">
        <v>207</v>
      </c>
      <c r="AR1089" s="14" t="s">
        <v>207</v>
      </c>
      <c r="AS1089" s="14" t="s">
        <v>207</v>
      </c>
      <c r="AT1089" s="14" t="s">
        <v>207</v>
      </c>
      <c r="AU1089" s="30" t="s">
        <v>12897</v>
      </c>
      <c r="AV1089" s="14" t="s">
        <v>207</v>
      </c>
      <c r="AW1089" s="74"/>
      <c r="AX1089" s="1"/>
      <c r="AY1089" s="17" t="s">
        <v>101</v>
      </c>
    </row>
    <row r="1090" spans="1:51" ht="12.75" customHeight="1" x14ac:dyDescent="0.25">
      <c r="A1090" s="5">
        <v>1037</v>
      </c>
      <c r="B1090" s="9">
        <v>1037</v>
      </c>
      <c r="C1090" s="9" t="s">
        <v>12898</v>
      </c>
      <c r="D1090" s="57" t="str">
        <f>HYPERLINK("http://prodenv.dep.state.fl.us/DepNexus/public/electronic-documents/OG_1037/facility!search","OG_1037_Docs")</f>
        <v>OG_1037_Docs</v>
      </c>
      <c r="E1090" s="57" t="str">
        <f>HYPERLINK("https://ca.dep.state.fl.us/mapdirect/?focus=oilandgas&amp;zoom=query&amp;querytype=oilandgas&amp;queryvalues=OG_1037","OG_1037_Map")</f>
        <v>OG_1037_Map</v>
      </c>
      <c r="F1090" s="1" t="s">
        <v>265</v>
      </c>
      <c r="G1090" s="1" t="s">
        <v>79</v>
      </c>
      <c r="H1090" s="1" t="s">
        <v>12078</v>
      </c>
      <c r="I1090" s="1" t="s">
        <v>12899</v>
      </c>
      <c r="J1090" s="17" t="s">
        <v>82</v>
      </c>
      <c r="K1090" s="17" t="s">
        <v>83</v>
      </c>
      <c r="L1090" s="17" t="s">
        <v>101</v>
      </c>
      <c r="M1090" s="17"/>
      <c r="N1090" s="52" t="s">
        <v>12900</v>
      </c>
      <c r="O1090" s="17" t="s">
        <v>270</v>
      </c>
      <c r="P1090" s="17" t="s">
        <v>3395</v>
      </c>
      <c r="Q1090" s="81" t="s">
        <v>12901</v>
      </c>
      <c r="R1090" s="11">
        <v>26.184563000000001</v>
      </c>
      <c r="S1090" s="11">
        <v>-81.209007999999997</v>
      </c>
      <c r="T1090" s="11" t="s">
        <v>12902</v>
      </c>
      <c r="U1090" s="11" t="s">
        <v>12903</v>
      </c>
      <c r="V1090" s="17" t="s">
        <v>12904</v>
      </c>
      <c r="W1090" s="17" t="s">
        <v>110</v>
      </c>
      <c r="X1090" s="70">
        <v>36</v>
      </c>
      <c r="Y1090" s="70">
        <v>16</v>
      </c>
      <c r="Z1090" s="13">
        <v>29571</v>
      </c>
      <c r="AA1090" s="13">
        <v>30008</v>
      </c>
      <c r="AB1090" s="13"/>
      <c r="AC1090" s="13">
        <v>31341</v>
      </c>
      <c r="AD1090" s="86">
        <v>11866</v>
      </c>
      <c r="AE1090" s="86">
        <v>11866</v>
      </c>
      <c r="AF1090" s="70" t="s">
        <v>12905</v>
      </c>
      <c r="AG1090" s="17" t="s">
        <v>12906</v>
      </c>
      <c r="AH1090" s="17" t="s">
        <v>12907</v>
      </c>
      <c r="AI1090" s="70" t="s">
        <v>12908</v>
      </c>
      <c r="AJ1090" s="17" t="s">
        <v>12909</v>
      </c>
      <c r="AK1090" s="17" t="s">
        <v>95</v>
      </c>
      <c r="AL1090" s="17" t="s">
        <v>12910</v>
      </c>
      <c r="AM1090" s="17" t="s">
        <v>95</v>
      </c>
      <c r="AN1090" s="17" t="s">
        <v>12911</v>
      </c>
      <c r="AO1090" s="17" t="s">
        <v>12912</v>
      </c>
      <c r="AP1090" s="17" t="s">
        <v>6135</v>
      </c>
      <c r="AQ1090" s="17" t="s">
        <v>6662</v>
      </c>
      <c r="AR1090" s="17" t="s">
        <v>12913</v>
      </c>
      <c r="AS1090" s="17" t="s">
        <v>12914</v>
      </c>
      <c r="AT1090" s="17">
        <v>174</v>
      </c>
      <c r="AU1090" s="30" t="s">
        <v>12915</v>
      </c>
      <c r="AV1090" s="14">
        <v>15138</v>
      </c>
      <c r="AW1090" s="74"/>
      <c r="AX1090" s="1"/>
      <c r="AY1090" s="17" t="s">
        <v>101</v>
      </c>
    </row>
    <row r="1091" spans="1:51" ht="12.75" customHeight="1" x14ac:dyDescent="0.25">
      <c r="A1091" s="5">
        <v>1038</v>
      </c>
      <c r="B1091" s="9">
        <v>1038</v>
      </c>
      <c r="C1091" s="9" t="s">
        <v>12916</v>
      </c>
      <c r="D1091" s="57" t="str">
        <f>HYPERLINK("http://prodenv.dep.state.fl.us/DepNexus/public/electronic-documents/OG_1038/facility!search","OG_1038_Docs")</f>
        <v>OG_1038_Docs</v>
      </c>
      <c r="E1091" s="57" t="str">
        <f>HYPERLINK("https://ca.dep.state.fl.us/mapdirect/?focus=oilandgas&amp;zoom=query&amp;querytype=oilandgas&amp;queryvalues=OG_1038","OG_1038_Map")</f>
        <v>OG_1038_Map</v>
      </c>
      <c r="F1091" s="1" t="s">
        <v>1752</v>
      </c>
      <c r="G1091" s="1" t="s">
        <v>79</v>
      </c>
      <c r="H1091" s="1" t="s">
        <v>12078</v>
      </c>
      <c r="I1091" s="1" t="s">
        <v>12917</v>
      </c>
      <c r="J1091" s="17" t="s">
        <v>82</v>
      </c>
      <c r="K1091" s="17" t="s">
        <v>83</v>
      </c>
      <c r="L1091" s="17"/>
      <c r="M1091" s="17"/>
      <c r="N1091" s="52" t="s">
        <v>12918</v>
      </c>
      <c r="O1091" s="17" t="s">
        <v>270</v>
      </c>
      <c r="P1091" s="17" t="s">
        <v>86</v>
      </c>
      <c r="Q1091" s="81" t="s">
        <v>12919</v>
      </c>
      <c r="R1091" s="11">
        <v>26.459544000000001</v>
      </c>
      <c r="S1091" s="11">
        <v>-81.267133999999999</v>
      </c>
      <c r="T1091" s="11" t="s">
        <v>12920</v>
      </c>
      <c r="U1091" s="11" t="s">
        <v>12921</v>
      </c>
      <c r="V1091" s="17" t="s">
        <v>941</v>
      </c>
      <c r="W1091" s="17" t="s">
        <v>110</v>
      </c>
      <c r="X1091" s="70">
        <v>51</v>
      </c>
      <c r="Y1091" s="70">
        <v>31</v>
      </c>
      <c r="Z1091" s="13">
        <v>29571</v>
      </c>
      <c r="AA1091" s="13">
        <v>29822</v>
      </c>
      <c r="AB1091" s="13"/>
      <c r="AC1091" s="13">
        <v>29860</v>
      </c>
      <c r="AD1091" s="86">
        <v>11733</v>
      </c>
      <c r="AE1091" s="86">
        <v>11733</v>
      </c>
      <c r="AF1091" s="70" t="s">
        <v>12905</v>
      </c>
      <c r="AG1091" s="17" t="s">
        <v>12922</v>
      </c>
      <c r="AH1091" s="17" t="s">
        <v>12923</v>
      </c>
      <c r="AI1091" s="70" t="s">
        <v>94</v>
      </c>
      <c r="AJ1091" s="17" t="s">
        <v>94</v>
      </c>
      <c r="AK1091" s="17" t="s">
        <v>95</v>
      </c>
      <c r="AL1091" s="17" t="s">
        <v>12924</v>
      </c>
      <c r="AM1091" s="17" t="s">
        <v>825</v>
      </c>
      <c r="AN1091" s="17" t="s">
        <v>94</v>
      </c>
      <c r="AO1091" s="17" t="s">
        <v>98</v>
      </c>
      <c r="AP1091" s="17" t="s">
        <v>98</v>
      </c>
      <c r="AQ1091" s="17" t="s">
        <v>98</v>
      </c>
      <c r="AR1091" s="17" t="s">
        <v>94</v>
      </c>
      <c r="AS1091" s="17" t="s">
        <v>12925</v>
      </c>
      <c r="AT1091" s="17">
        <v>184</v>
      </c>
      <c r="AU1091" s="30" t="s">
        <v>12926</v>
      </c>
      <c r="AV1091" s="14">
        <v>15052</v>
      </c>
      <c r="AW1091" s="74"/>
      <c r="AX1091" s="1"/>
      <c r="AY1091" s="17" t="s">
        <v>101</v>
      </c>
    </row>
    <row r="1092" spans="1:51" ht="12.75" customHeight="1" x14ac:dyDescent="0.25">
      <c r="A1092" s="5">
        <v>1039</v>
      </c>
      <c r="B1092" s="9">
        <v>1039</v>
      </c>
      <c r="C1092" s="9" t="s">
        <v>12927</v>
      </c>
      <c r="D1092" s="57" t="str">
        <f>HYPERLINK("http://prodenv.dep.state.fl.us/DepNexus/public/electronic-documents/OG_1039/facility!search","OG_1039_Docs")</f>
        <v>OG_1039_Docs</v>
      </c>
      <c r="E1092" s="57" t="str">
        <f>HYPERLINK("https://ca.dep.state.fl.us/mapdirect/?focus=oilandgas&amp;zoom=query&amp;querytype=oilandgas&amp;queryvalues=OG_1039","OG_1039_Map")</f>
        <v>OG_1039_Map</v>
      </c>
      <c r="F1092" s="1" t="s">
        <v>327</v>
      </c>
      <c r="G1092" s="1" t="s">
        <v>79</v>
      </c>
      <c r="H1092" s="1" t="s">
        <v>12806</v>
      </c>
      <c r="I1092" s="1" t="s">
        <v>12928</v>
      </c>
      <c r="J1092" s="17" t="s">
        <v>207</v>
      </c>
      <c r="K1092" s="17" t="s">
        <v>208</v>
      </c>
      <c r="L1092" s="17"/>
      <c r="M1092" s="17" t="s">
        <v>207</v>
      </c>
      <c r="N1092" s="52" t="s">
        <v>207</v>
      </c>
      <c r="O1092" s="17" t="s">
        <v>86</v>
      </c>
      <c r="P1092" s="17" t="s">
        <v>86</v>
      </c>
      <c r="Q1092" s="81" t="s">
        <v>12929</v>
      </c>
      <c r="R1092" s="11">
        <v>28.946366000000001</v>
      </c>
      <c r="S1092" s="11">
        <v>-80.966161</v>
      </c>
      <c r="T1092" s="11" t="s">
        <v>12930</v>
      </c>
      <c r="U1092" s="11" t="s">
        <v>12931</v>
      </c>
      <c r="V1092" s="17" t="s">
        <v>12932</v>
      </c>
      <c r="W1092" s="17" t="s">
        <v>110</v>
      </c>
      <c r="X1092" s="70"/>
      <c r="Y1092" s="70"/>
      <c r="Z1092" s="13">
        <v>29599</v>
      </c>
      <c r="AA1092" s="13"/>
      <c r="AB1092" s="13"/>
      <c r="AC1092" s="13"/>
      <c r="AD1092" s="86"/>
      <c r="AE1092" s="70"/>
      <c r="AF1092" s="70" t="s">
        <v>207</v>
      </c>
      <c r="AG1092" s="17" t="s">
        <v>207</v>
      </c>
      <c r="AH1092" s="17" t="s">
        <v>207</v>
      </c>
      <c r="AI1092" s="70" t="s">
        <v>207</v>
      </c>
      <c r="AJ1092" s="17" t="s">
        <v>207</v>
      </c>
      <c r="AK1092" s="17" t="s">
        <v>207</v>
      </c>
      <c r="AL1092" s="17" t="s">
        <v>207</v>
      </c>
      <c r="AM1092" s="17" t="s">
        <v>207</v>
      </c>
      <c r="AN1092" s="17" t="s">
        <v>207</v>
      </c>
      <c r="AO1092" s="17" t="s">
        <v>207</v>
      </c>
      <c r="AP1092" s="17" t="s">
        <v>207</v>
      </c>
      <c r="AQ1092" s="17" t="s">
        <v>207</v>
      </c>
      <c r="AR1092" s="17" t="s">
        <v>207</v>
      </c>
      <c r="AS1092" s="17" t="s">
        <v>207</v>
      </c>
      <c r="AT1092" s="17" t="s">
        <v>207</v>
      </c>
      <c r="AU1092" s="30" t="s">
        <v>12933</v>
      </c>
      <c r="AV1092" s="14" t="s">
        <v>207</v>
      </c>
      <c r="AW1092" s="74"/>
      <c r="AX1092" s="1"/>
      <c r="AY1092" s="17" t="s">
        <v>101</v>
      </c>
    </row>
    <row r="1093" spans="1:51" ht="12.75" customHeight="1" x14ac:dyDescent="0.25">
      <c r="A1093" s="5">
        <v>1040</v>
      </c>
      <c r="B1093" s="9">
        <v>1040</v>
      </c>
      <c r="C1093" s="9" t="s">
        <v>12934</v>
      </c>
      <c r="D1093" s="57" t="str">
        <f>HYPERLINK("http://prodenv.dep.state.fl.us/DepNexus/public/electronic-documents/OG_1040/facility!search","OG_1040_Docs")</f>
        <v>OG_1040_Docs</v>
      </c>
      <c r="E1093" s="57" t="str">
        <f>HYPERLINK("https://ca.dep.state.fl.us/mapdirect/?focus=oilandgas&amp;zoom=query&amp;querytype=oilandgas&amp;queryvalues=OG_1040","OG_1040_Map")</f>
        <v>OG_1040_Map</v>
      </c>
      <c r="F1093" s="1" t="s">
        <v>1151</v>
      </c>
      <c r="G1093" s="1" t="s">
        <v>79</v>
      </c>
      <c r="H1093" s="1" t="s">
        <v>8093</v>
      </c>
      <c r="I1093" s="1" t="s">
        <v>12935</v>
      </c>
      <c r="J1093" s="17" t="s">
        <v>207</v>
      </c>
      <c r="K1093" s="17" t="s">
        <v>208</v>
      </c>
      <c r="L1093" s="17"/>
      <c r="M1093" s="17" t="s">
        <v>207</v>
      </c>
      <c r="N1093" s="52" t="s">
        <v>207</v>
      </c>
      <c r="O1093" s="17" t="s">
        <v>86</v>
      </c>
      <c r="P1093" s="17" t="s">
        <v>86</v>
      </c>
      <c r="Q1093" s="81" t="s">
        <v>12936</v>
      </c>
      <c r="R1093" s="11">
        <v>30.161840999999999</v>
      </c>
      <c r="S1093" s="11">
        <v>-83.456408999999994</v>
      </c>
      <c r="T1093" s="11" t="s">
        <v>12937</v>
      </c>
      <c r="U1093" s="11" t="s">
        <v>12938</v>
      </c>
      <c r="V1093" s="17" t="s">
        <v>12939</v>
      </c>
      <c r="W1093" s="17" t="s">
        <v>110</v>
      </c>
      <c r="X1093" s="70"/>
      <c r="Y1093" s="70"/>
      <c r="Z1093" s="13">
        <v>29599</v>
      </c>
      <c r="AA1093" s="13"/>
      <c r="AB1093" s="13"/>
      <c r="AC1093" s="13"/>
      <c r="AD1093" s="86"/>
      <c r="AE1093" s="70"/>
      <c r="AF1093" s="70" t="s">
        <v>207</v>
      </c>
      <c r="AG1093" s="17" t="s">
        <v>207</v>
      </c>
      <c r="AH1093" s="17" t="s">
        <v>207</v>
      </c>
      <c r="AI1093" s="70" t="s">
        <v>207</v>
      </c>
      <c r="AJ1093" s="17" t="s">
        <v>207</v>
      </c>
      <c r="AK1093" s="17" t="s">
        <v>207</v>
      </c>
      <c r="AL1093" s="17" t="s">
        <v>207</v>
      </c>
      <c r="AM1093" s="17" t="s">
        <v>207</v>
      </c>
      <c r="AN1093" s="17" t="s">
        <v>207</v>
      </c>
      <c r="AO1093" s="17" t="s">
        <v>207</v>
      </c>
      <c r="AP1093" s="17" t="s">
        <v>207</v>
      </c>
      <c r="AQ1093" s="17" t="s">
        <v>207</v>
      </c>
      <c r="AR1093" s="17" t="s">
        <v>207</v>
      </c>
      <c r="AS1093" s="17" t="s">
        <v>207</v>
      </c>
      <c r="AT1093" s="17" t="s">
        <v>207</v>
      </c>
      <c r="AU1093" s="30" t="s">
        <v>12940</v>
      </c>
      <c r="AV1093" s="14" t="s">
        <v>207</v>
      </c>
      <c r="AW1093" s="74"/>
      <c r="AX1093" s="1"/>
      <c r="AY1093" s="17" t="s">
        <v>101</v>
      </c>
    </row>
    <row r="1094" spans="1:51" ht="12.75" customHeight="1" x14ac:dyDescent="0.25">
      <c r="A1094" s="5">
        <v>1041</v>
      </c>
      <c r="B1094" s="9">
        <v>1041</v>
      </c>
      <c r="C1094" s="9" t="s">
        <v>12941</v>
      </c>
      <c r="D1094" s="57" t="str">
        <f>HYPERLINK("http://prodenv.dep.state.fl.us/DepNexus/public/electronic-documents/OG_1041/facility!search","OG_1041_Docs")</f>
        <v>OG_1041_Docs</v>
      </c>
      <c r="E1094" s="57" t="str">
        <f>HYPERLINK("https://ca.dep.state.fl.us/mapdirect/?focus=oilandgas&amp;zoom=query&amp;querytype=oilandgas&amp;queryvalues=OG_1041","OG_1041_Map")</f>
        <v>OG_1041_Map</v>
      </c>
      <c r="F1094" s="1" t="s">
        <v>151</v>
      </c>
      <c r="G1094" s="1" t="s">
        <v>79</v>
      </c>
      <c r="H1094" s="1" t="s">
        <v>10982</v>
      </c>
      <c r="I1094" s="1" t="s">
        <v>12942</v>
      </c>
      <c r="J1094" s="17" t="s">
        <v>207</v>
      </c>
      <c r="K1094" s="17" t="s">
        <v>208</v>
      </c>
      <c r="L1094" s="17"/>
      <c r="M1094" s="17" t="s">
        <v>207</v>
      </c>
      <c r="N1094" s="52" t="s">
        <v>207</v>
      </c>
      <c r="O1094" s="17" t="s">
        <v>86</v>
      </c>
      <c r="P1094" s="17" t="s">
        <v>86</v>
      </c>
      <c r="Q1094" s="81" t="s">
        <v>12943</v>
      </c>
      <c r="R1094" s="11">
        <v>30.177890999999999</v>
      </c>
      <c r="S1094" s="11">
        <v>-85.435640000000006</v>
      </c>
      <c r="T1094" s="11" t="s">
        <v>12944</v>
      </c>
      <c r="U1094" s="11" t="s">
        <v>12945</v>
      </c>
      <c r="V1094" s="17" t="s">
        <v>12946</v>
      </c>
      <c r="W1094" s="17" t="s">
        <v>110</v>
      </c>
      <c r="X1094" s="70"/>
      <c r="Y1094" s="70"/>
      <c r="Z1094" s="13">
        <v>29620</v>
      </c>
      <c r="AA1094" s="13"/>
      <c r="AB1094" s="13"/>
      <c r="AC1094" s="13"/>
      <c r="AD1094" s="86"/>
      <c r="AE1094" s="70"/>
      <c r="AF1094" s="70" t="s">
        <v>207</v>
      </c>
      <c r="AG1094" s="17" t="s">
        <v>207</v>
      </c>
      <c r="AH1094" s="17" t="s">
        <v>207</v>
      </c>
      <c r="AI1094" s="70" t="s">
        <v>207</v>
      </c>
      <c r="AJ1094" s="17" t="s">
        <v>207</v>
      </c>
      <c r="AK1094" s="17" t="s">
        <v>207</v>
      </c>
      <c r="AL1094" s="17" t="s">
        <v>207</v>
      </c>
      <c r="AM1094" s="17" t="s">
        <v>207</v>
      </c>
      <c r="AN1094" s="17" t="s">
        <v>207</v>
      </c>
      <c r="AO1094" s="17" t="s">
        <v>207</v>
      </c>
      <c r="AP1094" s="17" t="s">
        <v>207</v>
      </c>
      <c r="AQ1094" s="17" t="s">
        <v>207</v>
      </c>
      <c r="AR1094" s="17" t="s">
        <v>207</v>
      </c>
      <c r="AS1094" s="17" t="s">
        <v>207</v>
      </c>
      <c r="AT1094" s="17" t="s">
        <v>207</v>
      </c>
      <c r="AU1094" s="30" t="s">
        <v>12947</v>
      </c>
      <c r="AV1094" s="14" t="s">
        <v>207</v>
      </c>
      <c r="AW1094" s="74"/>
      <c r="AX1094" s="1"/>
      <c r="AY1094" s="17" t="s">
        <v>101</v>
      </c>
    </row>
    <row r="1095" spans="1:51" ht="12.75" customHeight="1" x14ac:dyDescent="0.25">
      <c r="A1095" s="5">
        <v>1042</v>
      </c>
      <c r="B1095" s="9">
        <v>1042</v>
      </c>
      <c r="C1095" s="9" t="s">
        <v>12948</v>
      </c>
      <c r="D1095" s="57" t="str">
        <f>HYPERLINK("http://prodenv.dep.state.fl.us/DepNexus/public/electronic-documents/OG_1042/facility!search","OG_1042_Docs")</f>
        <v>OG_1042_Docs</v>
      </c>
      <c r="E1095" s="57" t="str">
        <f>HYPERLINK("https://ca.dep.state.fl.us/mapdirect/?focus=oilandgas&amp;zoom=query&amp;querytype=oilandgas&amp;queryvalues=OG_1042","OG_1042_Map")</f>
        <v>OG_1042_Map</v>
      </c>
      <c r="F1095" s="1" t="s">
        <v>265</v>
      </c>
      <c r="G1095" s="1" t="s">
        <v>266</v>
      </c>
      <c r="H1095" s="1" t="s">
        <v>8261</v>
      </c>
      <c r="I1095" s="1" t="s">
        <v>12949</v>
      </c>
      <c r="J1095" s="17" t="s">
        <v>268</v>
      </c>
      <c r="K1095" s="17" t="s">
        <v>412</v>
      </c>
      <c r="L1095" s="17"/>
      <c r="M1095" s="17" t="s">
        <v>101</v>
      </c>
      <c r="N1095" s="52" t="s">
        <v>12950</v>
      </c>
      <c r="O1095" s="17" t="s">
        <v>270</v>
      </c>
      <c r="P1095" s="17" t="s">
        <v>86</v>
      </c>
      <c r="Q1095" s="81" t="s">
        <v>3627</v>
      </c>
      <c r="R1095" s="11">
        <v>26.291536000000001</v>
      </c>
      <c r="S1095" s="11">
        <v>-81.347742999999994</v>
      </c>
      <c r="T1095" s="11" t="s">
        <v>12951</v>
      </c>
      <c r="U1095" s="11" t="s">
        <v>12952</v>
      </c>
      <c r="V1095" s="17" t="s">
        <v>12953</v>
      </c>
      <c r="W1095" s="17" t="s">
        <v>110</v>
      </c>
      <c r="X1095" s="70">
        <v>45</v>
      </c>
      <c r="Y1095" s="70">
        <v>20</v>
      </c>
      <c r="Z1095" s="13">
        <v>29684</v>
      </c>
      <c r="AA1095" s="13">
        <v>29783</v>
      </c>
      <c r="AB1095" s="13">
        <v>29956</v>
      </c>
      <c r="AC1095" s="13">
        <v>33575</v>
      </c>
      <c r="AD1095" s="86">
        <v>17200</v>
      </c>
      <c r="AE1095" s="86">
        <v>17200</v>
      </c>
      <c r="AF1095" s="70" t="s">
        <v>12954</v>
      </c>
      <c r="AG1095" s="17" t="s">
        <v>12955</v>
      </c>
      <c r="AH1095" s="17" t="s">
        <v>12956</v>
      </c>
      <c r="AI1095" s="70" t="s">
        <v>12957</v>
      </c>
      <c r="AJ1095" s="17" t="s">
        <v>12958</v>
      </c>
      <c r="AK1095" s="17" t="s">
        <v>95</v>
      </c>
      <c r="AL1095" s="17" t="s">
        <v>12959</v>
      </c>
      <c r="AM1095" s="17" t="s">
        <v>825</v>
      </c>
      <c r="AN1095" s="17" t="s">
        <v>86</v>
      </c>
      <c r="AO1095" s="17" t="s">
        <v>10408</v>
      </c>
      <c r="AP1095" s="17" t="s">
        <v>6135</v>
      </c>
      <c r="AQ1095" s="17" t="s">
        <v>12960</v>
      </c>
      <c r="AR1095" s="17" t="s">
        <v>12961</v>
      </c>
      <c r="AS1095" s="17" t="s">
        <v>12962</v>
      </c>
      <c r="AT1095" s="17">
        <v>248</v>
      </c>
      <c r="AU1095" s="30" t="s">
        <v>12963</v>
      </c>
      <c r="AV1095" s="14">
        <v>15095</v>
      </c>
      <c r="AW1095" s="74"/>
      <c r="AX1095" s="1"/>
      <c r="AY1095" s="17" t="s">
        <v>101</v>
      </c>
    </row>
    <row r="1096" spans="1:51" ht="12.75" customHeight="1" x14ac:dyDescent="0.25">
      <c r="A1096" s="5">
        <v>1043</v>
      </c>
      <c r="B1096" s="9">
        <v>1043</v>
      </c>
      <c r="C1096" s="9" t="s">
        <v>12964</v>
      </c>
      <c r="D1096" s="57" t="str">
        <f>HYPERLINK("http://prodenv.dep.state.fl.us/DepNexus/public/electronic-documents/OG_1043/facility!search","OG_1043_Docs")</f>
        <v>OG_1043_Docs</v>
      </c>
      <c r="E1096" s="57" t="str">
        <f>HYPERLINK("https://ca.dep.state.fl.us/mapdirect/?focus=oilandgas&amp;zoom=query&amp;querytype=oilandgas&amp;queryvalues=OG_1043","OG_1043_Map")</f>
        <v>OG_1043_Map</v>
      </c>
      <c r="F1096" s="1" t="s">
        <v>265</v>
      </c>
      <c r="G1096" s="1" t="s">
        <v>266</v>
      </c>
      <c r="H1096" s="1" t="s">
        <v>8261</v>
      </c>
      <c r="I1096" s="1" t="s">
        <v>12965</v>
      </c>
      <c r="J1096" s="17" t="s">
        <v>207</v>
      </c>
      <c r="K1096" s="17" t="s">
        <v>208</v>
      </c>
      <c r="L1096" s="17"/>
      <c r="M1096" s="17" t="s">
        <v>207</v>
      </c>
      <c r="N1096" s="52" t="s">
        <v>207</v>
      </c>
      <c r="O1096" s="17" t="s">
        <v>270</v>
      </c>
      <c r="P1096" s="17" t="s">
        <v>86</v>
      </c>
      <c r="Q1096" s="81" t="s">
        <v>12966</v>
      </c>
      <c r="R1096" s="11">
        <v>26.291371999999999</v>
      </c>
      <c r="S1096" s="11">
        <v>-81.395786999999999</v>
      </c>
      <c r="T1096" s="11" t="s">
        <v>12967</v>
      </c>
      <c r="U1096" s="11" t="s">
        <v>12968</v>
      </c>
      <c r="V1096" s="17" t="s">
        <v>12969</v>
      </c>
      <c r="W1096" s="17" t="s">
        <v>110</v>
      </c>
      <c r="X1096" s="70"/>
      <c r="Y1096" s="70"/>
      <c r="Z1096" s="13">
        <v>29684</v>
      </c>
      <c r="AA1096" s="13"/>
      <c r="AB1096" s="13"/>
      <c r="AC1096" s="13"/>
      <c r="AD1096" s="86"/>
      <c r="AE1096" s="70"/>
      <c r="AF1096" s="70" t="s">
        <v>207</v>
      </c>
      <c r="AG1096" s="14" t="s">
        <v>207</v>
      </c>
      <c r="AH1096" s="14" t="s">
        <v>207</v>
      </c>
      <c r="AI1096" s="70" t="s">
        <v>207</v>
      </c>
      <c r="AJ1096" s="14" t="s">
        <v>207</v>
      </c>
      <c r="AK1096" s="14" t="s">
        <v>207</v>
      </c>
      <c r="AL1096" s="14" t="s">
        <v>207</v>
      </c>
      <c r="AM1096" s="14" t="s">
        <v>207</v>
      </c>
      <c r="AN1096" s="14" t="s">
        <v>207</v>
      </c>
      <c r="AO1096" s="14" t="s">
        <v>207</v>
      </c>
      <c r="AP1096" s="14" t="s">
        <v>207</v>
      </c>
      <c r="AQ1096" s="14" t="s">
        <v>207</v>
      </c>
      <c r="AR1096" s="14" t="s">
        <v>207</v>
      </c>
      <c r="AS1096" s="14" t="s">
        <v>207</v>
      </c>
      <c r="AT1096" s="14" t="s">
        <v>207</v>
      </c>
      <c r="AU1096" s="30" t="s">
        <v>12970</v>
      </c>
      <c r="AV1096" s="14" t="s">
        <v>207</v>
      </c>
      <c r="AW1096" s="74"/>
      <c r="AX1096" s="1"/>
      <c r="AY1096" s="17" t="s">
        <v>101</v>
      </c>
    </row>
    <row r="1097" spans="1:51" ht="15" customHeight="1" x14ac:dyDescent="0.25">
      <c r="A1097" s="5">
        <v>1044</v>
      </c>
      <c r="B1097" s="9">
        <v>1044</v>
      </c>
      <c r="C1097" s="9" t="s">
        <v>12971</v>
      </c>
      <c r="D1097" s="57" t="str">
        <f>HYPERLINK("http://prodenv.dep.state.fl.us/DepNexus/public/electronic-documents/OG_1044/facility!search","OG_1044_Docs")</f>
        <v>OG_1044_Docs</v>
      </c>
      <c r="E1097" s="57" t="str">
        <f>HYPERLINK("https://ca.dep.state.fl.us/mapdirect/?focus=oilandgas&amp;zoom=query&amp;querytype=oilandgas&amp;queryvalues=OG_1044","OG_1044_Map")</f>
        <v>OG_1044_Map</v>
      </c>
      <c r="F1097" s="1" t="s">
        <v>1797</v>
      </c>
      <c r="G1097" s="1" t="s">
        <v>6648</v>
      </c>
      <c r="H1097" s="1" t="s">
        <v>6668</v>
      </c>
      <c r="I1097" s="1" t="s">
        <v>12972</v>
      </c>
      <c r="J1097" s="17" t="s">
        <v>6670</v>
      </c>
      <c r="K1097" s="17" t="s">
        <v>412</v>
      </c>
      <c r="L1097" s="17"/>
      <c r="M1097" s="17"/>
      <c r="N1097" s="52" t="s">
        <v>12973</v>
      </c>
      <c r="O1097" s="17" t="s">
        <v>86</v>
      </c>
      <c r="P1097" s="17" t="s">
        <v>86</v>
      </c>
      <c r="Q1097" s="81" t="s">
        <v>12974</v>
      </c>
      <c r="R1097" s="11">
        <v>30.855550000000001</v>
      </c>
      <c r="S1097" s="11">
        <v>-87.097773000000004</v>
      </c>
      <c r="T1097" s="11" t="s">
        <v>12975</v>
      </c>
      <c r="U1097" s="11" t="s">
        <v>12976</v>
      </c>
      <c r="V1097" s="17" t="s">
        <v>12977</v>
      </c>
      <c r="W1097" s="17" t="s">
        <v>12978</v>
      </c>
      <c r="X1097" s="70">
        <v>171</v>
      </c>
      <c r="Y1097" s="70">
        <v>148</v>
      </c>
      <c r="Z1097" s="13">
        <v>29684</v>
      </c>
      <c r="AA1097" s="13">
        <v>29765</v>
      </c>
      <c r="AB1097" s="13">
        <v>29845</v>
      </c>
      <c r="AC1097" s="13">
        <v>45430</v>
      </c>
      <c r="AD1097" s="86">
        <v>16001</v>
      </c>
      <c r="AE1097" s="70">
        <v>16062</v>
      </c>
      <c r="AF1097" s="70" t="s">
        <v>11383</v>
      </c>
      <c r="AG1097" s="17" t="s">
        <v>12979</v>
      </c>
      <c r="AH1097" s="17" t="s">
        <v>86</v>
      </c>
      <c r="AI1097" s="70" t="s">
        <v>12980</v>
      </c>
      <c r="AJ1097" s="17" t="s">
        <v>12981</v>
      </c>
      <c r="AK1097" s="17" t="s">
        <v>825</v>
      </c>
      <c r="AL1097" s="17" t="s">
        <v>12982</v>
      </c>
      <c r="AM1097" s="17" t="s">
        <v>825</v>
      </c>
      <c r="AN1097" s="17" t="s">
        <v>86</v>
      </c>
      <c r="AO1097" s="17" t="s">
        <v>12983</v>
      </c>
      <c r="AP1097" s="17" t="s">
        <v>12984</v>
      </c>
      <c r="AQ1097" s="17" t="s">
        <v>12985</v>
      </c>
      <c r="AR1097" s="17" t="s">
        <v>12986</v>
      </c>
      <c r="AS1097" s="17" t="s">
        <v>12987</v>
      </c>
      <c r="AT1097" s="17">
        <v>262</v>
      </c>
      <c r="AU1097" s="30" t="s">
        <v>12988</v>
      </c>
      <c r="AV1097" s="14">
        <v>15058</v>
      </c>
      <c r="AW1097" s="74">
        <v>302535</v>
      </c>
      <c r="AX1097" s="1"/>
      <c r="AY1097" s="17" t="s">
        <v>101</v>
      </c>
    </row>
    <row r="1098" spans="1:51" ht="12.75" customHeight="1" x14ac:dyDescent="0.25">
      <c r="A1098" s="5">
        <v>1045</v>
      </c>
      <c r="B1098" s="9">
        <v>1045</v>
      </c>
      <c r="C1098" s="9" t="s">
        <v>12989</v>
      </c>
      <c r="D1098" s="57" t="str">
        <f>HYPERLINK("http://prodenv.dep.state.fl.us/DepNexus/public/electronic-documents/OG_1045/facility!search","OG_1045_Docs")</f>
        <v>OG_1045_Docs</v>
      </c>
      <c r="E1098" s="57" t="str">
        <f>HYPERLINK("https://ca.dep.state.fl.us/mapdirect/?focus=oilandgas&amp;zoom=query&amp;querytype=oilandgas&amp;queryvalues=OG_1045","OG_1045_Map")</f>
        <v>OG_1045_Map</v>
      </c>
      <c r="F1098" s="1" t="s">
        <v>1797</v>
      </c>
      <c r="G1098" s="1" t="s">
        <v>79</v>
      </c>
      <c r="H1098" s="1" t="s">
        <v>12990</v>
      </c>
      <c r="I1098" s="1" t="s">
        <v>12991</v>
      </c>
      <c r="J1098" s="17" t="s">
        <v>82</v>
      </c>
      <c r="K1098" s="17" t="s">
        <v>83</v>
      </c>
      <c r="L1098" s="17"/>
      <c r="M1098" s="17"/>
      <c r="N1098" s="52" t="s">
        <v>12992</v>
      </c>
      <c r="O1098" s="17" t="s">
        <v>86</v>
      </c>
      <c r="P1098" s="17" t="s">
        <v>86</v>
      </c>
      <c r="Q1098" s="81" t="s">
        <v>12993</v>
      </c>
      <c r="R1098" s="11">
        <v>30.875309000000001</v>
      </c>
      <c r="S1098" s="11">
        <v>-87.084760000000003</v>
      </c>
      <c r="T1098" s="11" t="s">
        <v>12994</v>
      </c>
      <c r="U1098" s="11" t="s">
        <v>12995</v>
      </c>
      <c r="V1098" s="17" t="s">
        <v>12996</v>
      </c>
      <c r="W1098" s="17" t="s">
        <v>110</v>
      </c>
      <c r="X1098" s="70">
        <v>159</v>
      </c>
      <c r="Y1098" s="70">
        <v>139</v>
      </c>
      <c r="Z1098" s="13">
        <v>29684</v>
      </c>
      <c r="AA1098" s="13">
        <v>29698</v>
      </c>
      <c r="AB1098" s="13"/>
      <c r="AC1098" s="13">
        <v>29934</v>
      </c>
      <c r="AD1098" s="86">
        <v>15483</v>
      </c>
      <c r="AE1098" s="86">
        <v>15483</v>
      </c>
      <c r="AF1098" s="70" t="s">
        <v>12997</v>
      </c>
      <c r="AG1098" s="17" t="s">
        <v>12998</v>
      </c>
      <c r="AH1098" s="17" t="s">
        <v>86</v>
      </c>
      <c r="AI1098" s="70" t="s">
        <v>12999</v>
      </c>
      <c r="AJ1098" s="17" t="s">
        <v>13000</v>
      </c>
      <c r="AK1098" s="17" t="s">
        <v>95</v>
      </c>
      <c r="AL1098" s="17" t="s">
        <v>13001</v>
      </c>
      <c r="AM1098" s="17" t="s">
        <v>95</v>
      </c>
      <c r="AN1098" s="17" t="s">
        <v>13002</v>
      </c>
      <c r="AO1098" s="17" t="s">
        <v>7931</v>
      </c>
      <c r="AP1098" s="17" t="s">
        <v>6135</v>
      </c>
      <c r="AQ1098" s="17" t="s">
        <v>13003</v>
      </c>
      <c r="AR1098" s="17" t="s">
        <v>13004</v>
      </c>
      <c r="AS1098" s="17" t="s">
        <v>13005</v>
      </c>
      <c r="AT1098" s="17" t="s">
        <v>94</v>
      </c>
      <c r="AU1098" s="30" t="s">
        <v>13006</v>
      </c>
      <c r="AV1098" s="14">
        <v>15016</v>
      </c>
      <c r="AW1098" s="74"/>
      <c r="AX1098" s="1"/>
      <c r="AY1098" s="17" t="s">
        <v>101</v>
      </c>
    </row>
    <row r="1099" spans="1:51" ht="15" customHeight="1" x14ac:dyDescent="0.25">
      <c r="A1099" s="5">
        <v>1046</v>
      </c>
      <c r="B1099" s="9">
        <v>1046</v>
      </c>
      <c r="C1099" s="9" t="s">
        <v>13007</v>
      </c>
      <c r="D1099" s="57" t="str">
        <f>HYPERLINK("http://prodenv.dep.state.fl.us/DepNexus/public/electronic-documents/OG_1046/facility!search","OG_1046_Docs")</f>
        <v>OG_1046_Docs</v>
      </c>
      <c r="E1099" s="57" t="str">
        <f>HYPERLINK("https://ca.dep.state.fl.us/mapdirect/?focus=oilandgas&amp;zoom=query&amp;querytype=oilandgas&amp;queryvalues=OG_1046","OG_1046_Map")</f>
        <v>OG_1046_Map</v>
      </c>
      <c r="F1099" s="1" t="s">
        <v>265</v>
      </c>
      <c r="G1099" s="1" t="s">
        <v>79</v>
      </c>
      <c r="H1099" s="1" t="s">
        <v>9855</v>
      </c>
      <c r="I1099" s="1" t="s">
        <v>13008</v>
      </c>
      <c r="J1099" s="17" t="s">
        <v>207</v>
      </c>
      <c r="K1099" s="17" t="s">
        <v>208</v>
      </c>
      <c r="L1099" s="17"/>
      <c r="M1099" s="17" t="s">
        <v>207</v>
      </c>
      <c r="N1099" s="52" t="s">
        <v>207</v>
      </c>
      <c r="O1099" s="17" t="s">
        <v>270</v>
      </c>
      <c r="P1099" s="17" t="s">
        <v>3395</v>
      </c>
      <c r="Q1099" s="81" t="s">
        <v>13009</v>
      </c>
      <c r="R1099" s="11">
        <v>25.968544000000001</v>
      </c>
      <c r="S1099" s="11">
        <v>-81.242080999999999</v>
      </c>
      <c r="T1099" s="11" t="s">
        <v>13010</v>
      </c>
      <c r="U1099" s="11" t="s">
        <v>13011</v>
      </c>
      <c r="V1099" s="17" t="s">
        <v>13012</v>
      </c>
      <c r="W1099" s="17" t="s">
        <v>110</v>
      </c>
      <c r="X1099" s="70"/>
      <c r="Y1099" s="70"/>
      <c r="Z1099" s="13">
        <v>29725</v>
      </c>
      <c r="AA1099" s="13"/>
      <c r="AB1099" s="13"/>
      <c r="AC1099" s="13"/>
      <c r="AD1099" s="86"/>
      <c r="AE1099" s="70"/>
      <c r="AF1099" s="70" t="s">
        <v>207</v>
      </c>
      <c r="AG1099" s="14" t="s">
        <v>207</v>
      </c>
      <c r="AH1099" s="14" t="s">
        <v>207</v>
      </c>
      <c r="AI1099" s="70" t="s">
        <v>207</v>
      </c>
      <c r="AJ1099" s="14" t="s">
        <v>207</v>
      </c>
      <c r="AK1099" s="14" t="s">
        <v>207</v>
      </c>
      <c r="AL1099" s="14" t="s">
        <v>207</v>
      </c>
      <c r="AM1099" s="14" t="s">
        <v>207</v>
      </c>
      <c r="AN1099" s="14" t="s">
        <v>207</v>
      </c>
      <c r="AO1099" s="14" t="s">
        <v>207</v>
      </c>
      <c r="AP1099" s="14" t="s">
        <v>207</v>
      </c>
      <c r="AQ1099" s="14" t="s">
        <v>207</v>
      </c>
      <c r="AR1099" s="14" t="s">
        <v>207</v>
      </c>
      <c r="AS1099" s="14" t="s">
        <v>207</v>
      </c>
      <c r="AT1099" s="14" t="s">
        <v>207</v>
      </c>
      <c r="AU1099" s="30" t="s">
        <v>13013</v>
      </c>
      <c r="AV1099" s="14" t="s">
        <v>207</v>
      </c>
      <c r="AW1099" s="74"/>
      <c r="AX1099" s="1"/>
      <c r="AY1099" s="17" t="s">
        <v>101</v>
      </c>
    </row>
    <row r="1100" spans="1:51" ht="12.75" customHeight="1" x14ac:dyDescent="0.25">
      <c r="A1100" s="5">
        <v>1047</v>
      </c>
      <c r="B1100" s="9">
        <v>1047</v>
      </c>
      <c r="C1100" s="9" t="s">
        <v>13014</v>
      </c>
      <c r="D1100" s="57" t="str">
        <f>HYPERLINK("http://prodenv.dep.state.fl.us/DepNexus/public/electronic-documents/OG_1047/facility!search","OG_1047_Docs")</f>
        <v>OG_1047_Docs</v>
      </c>
      <c r="E1100" s="57" t="str">
        <f>HYPERLINK("https://ca.dep.state.fl.us/mapdirect/?focus=oilandgas&amp;zoom=query&amp;querytype=oilandgas&amp;queryvalues=OG_1047","OG_1047_Map")</f>
        <v>OG_1047_Map</v>
      </c>
      <c r="F1100" s="1" t="s">
        <v>1797</v>
      </c>
      <c r="G1100" s="1" t="s">
        <v>5133</v>
      </c>
      <c r="H1100" s="1" t="s">
        <v>1363</v>
      </c>
      <c r="I1100" s="1" t="s">
        <v>13015</v>
      </c>
      <c r="J1100" s="17" t="s">
        <v>1365</v>
      </c>
      <c r="K1100" s="17" t="s">
        <v>13016</v>
      </c>
      <c r="L1100" s="17"/>
      <c r="M1100" s="17"/>
      <c r="N1100" s="52" t="s">
        <v>3886</v>
      </c>
      <c r="O1100" s="17" t="s">
        <v>86</v>
      </c>
      <c r="P1100" s="17" t="s">
        <v>86</v>
      </c>
      <c r="Q1100" s="81" t="s">
        <v>5994</v>
      </c>
      <c r="R1100" s="11">
        <v>30.955617</v>
      </c>
      <c r="S1100" s="11">
        <v>-87.178190999999998</v>
      </c>
      <c r="T1100" s="11" t="s">
        <v>13017</v>
      </c>
      <c r="U1100" s="11" t="s">
        <v>13018</v>
      </c>
      <c r="V1100" s="17" t="s">
        <v>12704</v>
      </c>
      <c r="W1100" s="17" t="s">
        <v>110</v>
      </c>
      <c r="X1100" s="70">
        <v>237</v>
      </c>
      <c r="Y1100" s="70">
        <v>214</v>
      </c>
      <c r="Z1100" s="13">
        <v>29725</v>
      </c>
      <c r="AA1100" s="13">
        <v>29594</v>
      </c>
      <c r="AB1100" s="13">
        <v>29744</v>
      </c>
      <c r="AC1100" s="13"/>
      <c r="AD1100" s="86">
        <v>10423</v>
      </c>
      <c r="AE1100" s="86">
        <v>10423</v>
      </c>
      <c r="AF1100" s="70" t="s">
        <v>11383</v>
      </c>
      <c r="AG1100" s="17" t="s">
        <v>12706</v>
      </c>
      <c r="AH1100" s="17" t="s">
        <v>86</v>
      </c>
      <c r="AI1100" s="70" t="s">
        <v>12707</v>
      </c>
      <c r="AJ1100" s="17" t="s">
        <v>13019</v>
      </c>
      <c r="AK1100" s="17" t="s">
        <v>825</v>
      </c>
      <c r="AL1100" s="17" t="s">
        <v>825</v>
      </c>
      <c r="AM1100" s="17" t="s">
        <v>94</v>
      </c>
      <c r="AN1100" s="17" t="s">
        <v>94</v>
      </c>
      <c r="AO1100" s="17" t="s">
        <v>94</v>
      </c>
      <c r="AP1100" s="17" t="s">
        <v>94</v>
      </c>
      <c r="AQ1100" s="17" t="s">
        <v>94</v>
      </c>
      <c r="AR1100" s="17" t="s">
        <v>13020</v>
      </c>
      <c r="AS1100" s="17"/>
      <c r="AT1100" s="17" t="s">
        <v>94</v>
      </c>
      <c r="AU1100" s="30" t="s">
        <v>13021</v>
      </c>
      <c r="AV1100" s="14" t="s">
        <v>86</v>
      </c>
      <c r="AW1100" s="74">
        <v>311640</v>
      </c>
      <c r="AX1100" s="1" t="s">
        <v>13022</v>
      </c>
      <c r="AY1100" s="17" t="s">
        <v>101</v>
      </c>
    </row>
    <row r="1101" spans="1:51" ht="12.75" customHeight="1" x14ac:dyDescent="0.25">
      <c r="A1101" s="5">
        <v>1048</v>
      </c>
      <c r="B1101" s="9">
        <v>1048</v>
      </c>
      <c r="C1101" s="9" t="s">
        <v>13023</v>
      </c>
      <c r="D1101" s="57" t="str">
        <f>HYPERLINK("http://prodenv.dep.state.fl.us/DepNexus/public/electronic-documents/OG_1048/facility!search","OG_1048_Docs")</f>
        <v>OG_1048_Docs</v>
      </c>
      <c r="E1101" s="57" t="str">
        <f>HYPERLINK("https://ca.dep.state.fl.us/mapdirect/?focus=oilandgas&amp;zoom=query&amp;querytype=oilandgas&amp;queryvalues=OG_1048","OG_1048_Map")</f>
        <v>OG_1048_Map</v>
      </c>
      <c r="F1101" s="1" t="s">
        <v>1752</v>
      </c>
      <c r="G1101" s="1" t="s">
        <v>79</v>
      </c>
      <c r="H1101" s="1" t="s">
        <v>12149</v>
      </c>
      <c r="I1101" s="1" t="s">
        <v>13024</v>
      </c>
      <c r="J1101" s="17" t="s">
        <v>82</v>
      </c>
      <c r="K1101" s="17" t="s">
        <v>83</v>
      </c>
      <c r="L1101" s="17"/>
      <c r="M1101" s="17"/>
      <c r="N1101" s="52" t="s">
        <v>13025</v>
      </c>
      <c r="O1101" s="17" t="s">
        <v>86</v>
      </c>
      <c r="P1101" s="17" t="s">
        <v>86</v>
      </c>
      <c r="Q1101" s="81" t="s">
        <v>13026</v>
      </c>
      <c r="R1101" s="11">
        <v>26.636375999999998</v>
      </c>
      <c r="S1101" s="11">
        <v>-81.343452999999997</v>
      </c>
      <c r="T1101" s="11" t="s">
        <v>13027</v>
      </c>
      <c r="U1101" s="11" t="s">
        <v>13028</v>
      </c>
      <c r="V1101" s="17" t="s">
        <v>13029</v>
      </c>
      <c r="W1101" s="17" t="s">
        <v>110</v>
      </c>
      <c r="X1101" s="70">
        <v>48</v>
      </c>
      <c r="Y1101" s="70">
        <v>28</v>
      </c>
      <c r="Z1101" s="13">
        <v>29725</v>
      </c>
      <c r="AA1101" s="13">
        <v>29868</v>
      </c>
      <c r="AB1101" s="13"/>
      <c r="AC1101" s="13">
        <v>29917</v>
      </c>
      <c r="AD1101" s="86">
        <v>12233</v>
      </c>
      <c r="AE1101" s="86">
        <v>12233</v>
      </c>
      <c r="AF1101" s="70" t="s">
        <v>13030</v>
      </c>
      <c r="AG1101" s="17" t="s">
        <v>13031</v>
      </c>
      <c r="AH1101" s="17" t="s">
        <v>13032</v>
      </c>
      <c r="AI1101" s="70" t="s">
        <v>94</v>
      </c>
      <c r="AJ1101" s="17" t="s">
        <v>94</v>
      </c>
      <c r="AK1101" s="17" t="s">
        <v>95</v>
      </c>
      <c r="AL1101" s="17" t="s">
        <v>13033</v>
      </c>
      <c r="AM1101" s="17" t="s">
        <v>825</v>
      </c>
      <c r="AN1101" s="17" t="s">
        <v>94</v>
      </c>
      <c r="AO1101" s="17" t="s">
        <v>98</v>
      </c>
      <c r="AP1101" s="17" t="s">
        <v>98</v>
      </c>
      <c r="AQ1101" s="17" t="s">
        <v>98</v>
      </c>
      <c r="AR1101" s="17" t="s">
        <v>94</v>
      </c>
      <c r="AS1101" s="17" t="s">
        <v>13034</v>
      </c>
      <c r="AT1101" s="17">
        <v>166</v>
      </c>
      <c r="AU1101" s="30" t="s">
        <v>13035</v>
      </c>
      <c r="AV1101" s="14">
        <v>15093</v>
      </c>
      <c r="AW1101" s="74"/>
      <c r="AX1101" s="1"/>
      <c r="AY1101" s="17" t="s">
        <v>101</v>
      </c>
    </row>
    <row r="1102" spans="1:51" ht="15" customHeight="1" x14ac:dyDescent="0.25">
      <c r="A1102" s="5">
        <v>1049</v>
      </c>
      <c r="B1102" s="9">
        <v>1049</v>
      </c>
      <c r="C1102" s="9" t="s">
        <v>13036</v>
      </c>
      <c r="D1102" s="57" t="str">
        <f>HYPERLINK("http://prodenv.dep.state.fl.us/DepNexus/public/electronic-documents/OG_1049/facility!search","OG_1049_Docs")</f>
        <v>OG_1049_Docs</v>
      </c>
      <c r="E1102" s="57" t="str">
        <f>HYPERLINK("https://ca.dep.state.fl.us/mapdirect/?focus=oilandgas&amp;zoom=query&amp;querytype=oilandgas&amp;queryvalues=OG_1049","OG_1049_Map")</f>
        <v>OG_1049_Map</v>
      </c>
      <c r="F1102" s="1" t="s">
        <v>634</v>
      </c>
      <c r="G1102" s="1" t="s">
        <v>79</v>
      </c>
      <c r="H1102" s="1" t="s">
        <v>13037</v>
      </c>
      <c r="I1102" s="1" t="s">
        <v>13038</v>
      </c>
      <c r="J1102" s="17" t="s">
        <v>207</v>
      </c>
      <c r="K1102" s="17" t="s">
        <v>208</v>
      </c>
      <c r="L1102" s="17"/>
      <c r="M1102" s="17" t="s">
        <v>207</v>
      </c>
      <c r="N1102" s="52" t="s">
        <v>207</v>
      </c>
      <c r="O1102" s="17" t="s">
        <v>86</v>
      </c>
      <c r="P1102" s="17" t="s">
        <v>86</v>
      </c>
      <c r="Q1102" s="81" t="s">
        <v>13039</v>
      </c>
      <c r="R1102" s="11">
        <v>30.168827</v>
      </c>
      <c r="S1102" s="11">
        <v>-83.126424999999998</v>
      </c>
      <c r="T1102" s="11" t="s">
        <v>13040</v>
      </c>
      <c r="U1102" s="11" t="s">
        <v>13041</v>
      </c>
      <c r="V1102" s="17" t="s">
        <v>13042</v>
      </c>
      <c r="W1102" s="17" t="s">
        <v>110</v>
      </c>
      <c r="X1102" s="70"/>
      <c r="Y1102" s="70"/>
      <c r="Z1102" s="13">
        <v>29739</v>
      </c>
      <c r="AA1102" s="13"/>
      <c r="AB1102" s="13"/>
      <c r="AC1102" s="13"/>
      <c r="AD1102" s="86"/>
      <c r="AE1102" s="70"/>
      <c r="AF1102" s="70" t="s">
        <v>207</v>
      </c>
      <c r="AG1102" s="14" t="s">
        <v>207</v>
      </c>
      <c r="AH1102" s="14" t="s">
        <v>207</v>
      </c>
      <c r="AI1102" s="70" t="s">
        <v>207</v>
      </c>
      <c r="AJ1102" s="14" t="s">
        <v>207</v>
      </c>
      <c r="AK1102" s="14" t="s">
        <v>207</v>
      </c>
      <c r="AL1102" s="14" t="s">
        <v>207</v>
      </c>
      <c r="AM1102" s="14" t="s">
        <v>207</v>
      </c>
      <c r="AN1102" s="14" t="s">
        <v>207</v>
      </c>
      <c r="AO1102" s="14" t="s">
        <v>207</v>
      </c>
      <c r="AP1102" s="14" t="s">
        <v>207</v>
      </c>
      <c r="AQ1102" s="14" t="s">
        <v>207</v>
      </c>
      <c r="AR1102" s="14" t="s">
        <v>207</v>
      </c>
      <c r="AS1102" s="14" t="s">
        <v>207</v>
      </c>
      <c r="AT1102" s="14" t="s">
        <v>207</v>
      </c>
      <c r="AU1102" s="30" t="s">
        <v>13043</v>
      </c>
      <c r="AV1102" s="14" t="s">
        <v>207</v>
      </c>
      <c r="AW1102" s="74"/>
      <c r="AX1102" s="1"/>
      <c r="AY1102" s="17" t="s">
        <v>101</v>
      </c>
    </row>
    <row r="1103" spans="1:51" ht="12.75" customHeight="1" x14ac:dyDescent="0.25">
      <c r="A1103" s="5">
        <v>1050</v>
      </c>
      <c r="B1103" s="9">
        <v>1050</v>
      </c>
      <c r="C1103" s="9" t="s">
        <v>13044</v>
      </c>
      <c r="D1103" s="57" t="str">
        <f>HYPERLINK("http://prodenv.dep.state.fl.us/DepNexus/public/electronic-documents/OG_1050/facility!search","OG_1050_Docs")</f>
        <v>OG_1050_Docs</v>
      </c>
      <c r="E1103" s="57" t="str">
        <f>HYPERLINK("https://ca.dep.state.fl.us/mapdirect/?focus=oilandgas&amp;zoom=query&amp;querytype=oilandgas&amp;queryvalues=OG_1050","OG_1050_Map")</f>
        <v>OG_1050_Map</v>
      </c>
      <c r="F1103" s="1" t="s">
        <v>1752</v>
      </c>
      <c r="G1103" s="1" t="s">
        <v>79</v>
      </c>
      <c r="H1103" s="1" t="s">
        <v>12149</v>
      </c>
      <c r="I1103" s="1" t="s">
        <v>13045</v>
      </c>
      <c r="J1103" s="17" t="s">
        <v>82</v>
      </c>
      <c r="K1103" s="17" t="s">
        <v>83</v>
      </c>
      <c r="L1103" s="17"/>
      <c r="M1103" s="17" t="s">
        <v>84</v>
      </c>
      <c r="N1103" s="52" t="s">
        <v>13046</v>
      </c>
      <c r="O1103" s="17" t="s">
        <v>86</v>
      </c>
      <c r="P1103" s="17" t="s">
        <v>86</v>
      </c>
      <c r="Q1103" s="81" t="s">
        <v>13047</v>
      </c>
      <c r="R1103" s="11">
        <v>26.521134</v>
      </c>
      <c r="S1103" s="11">
        <v>-81.196746000000005</v>
      </c>
      <c r="T1103" s="11" t="s">
        <v>13048</v>
      </c>
      <c r="U1103" s="11" t="s">
        <v>13049</v>
      </c>
      <c r="V1103" s="17" t="s">
        <v>13050</v>
      </c>
      <c r="W1103" s="17" t="s">
        <v>110</v>
      </c>
      <c r="X1103" s="70">
        <v>48</v>
      </c>
      <c r="Y1103" s="70">
        <v>30</v>
      </c>
      <c r="Z1103" s="13">
        <v>29753</v>
      </c>
      <c r="AA1103" s="13">
        <v>29797</v>
      </c>
      <c r="AB1103" s="13"/>
      <c r="AC1103" s="13">
        <v>29845</v>
      </c>
      <c r="AD1103" s="86">
        <v>12315</v>
      </c>
      <c r="AE1103" s="86">
        <v>12315</v>
      </c>
      <c r="AF1103" s="70" t="s">
        <v>13051</v>
      </c>
      <c r="AG1103" s="17" t="s">
        <v>13052</v>
      </c>
      <c r="AH1103" s="17" t="s">
        <v>13053</v>
      </c>
      <c r="AI1103" s="70" t="s">
        <v>94</v>
      </c>
      <c r="AJ1103" s="17" t="s">
        <v>94</v>
      </c>
      <c r="AK1103" s="17" t="s">
        <v>95</v>
      </c>
      <c r="AL1103" s="17" t="s">
        <v>86</v>
      </c>
      <c r="AM1103" s="17" t="s">
        <v>94</v>
      </c>
      <c r="AN1103" s="17" t="s">
        <v>86</v>
      </c>
      <c r="AO1103" s="17" t="s">
        <v>98</v>
      </c>
      <c r="AP1103" s="17" t="s">
        <v>98</v>
      </c>
      <c r="AQ1103" s="17" t="s">
        <v>98</v>
      </c>
      <c r="AR1103" s="17" t="s">
        <v>94</v>
      </c>
      <c r="AS1103" s="17" t="s">
        <v>13054</v>
      </c>
      <c r="AT1103" s="17">
        <v>182</v>
      </c>
      <c r="AU1103" s="30" t="s">
        <v>13055</v>
      </c>
      <c r="AV1103" s="14">
        <v>15051</v>
      </c>
      <c r="AW1103" s="74"/>
      <c r="AX1103" s="1"/>
      <c r="AY1103" s="17" t="s">
        <v>101</v>
      </c>
    </row>
    <row r="1104" spans="1:51" ht="12.75" customHeight="1" x14ac:dyDescent="0.25">
      <c r="A1104" s="5">
        <v>1051</v>
      </c>
      <c r="B1104" s="9">
        <v>1051</v>
      </c>
      <c r="C1104" s="9" t="s">
        <v>13056</v>
      </c>
      <c r="D1104" s="57" t="str">
        <f>HYPERLINK("http://prodenv.dep.state.fl.us/DepNexus/public/electronic-documents/OG_1051/facility!search","OG_1051_Docs")</f>
        <v>OG_1051_Docs</v>
      </c>
      <c r="E1104" s="57" t="str">
        <f>HYPERLINK("https://ca.dep.state.fl.us/mapdirect/?focus=oilandgas&amp;zoom=query&amp;querytype=oilandgas&amp;queryvalues=OG_1051","OG_1051_Map")</f>
        <v>OG_1051_Map</v>
      </c>
      <c r="F1104" s="1" t="s">
        <v>215</v>
      </c>
      <c r="G1104" s="1" t="s">
        <v>79</v>
      </c>
      <c r="H1104" s="1" t="s">
        <v>8093</v>
      </c>
      <c r="I1104" s="1" t="s">
        <v>13057</v>
      </c>
      <c r="J1104" s="17" t="s">
        <v>207</v>
      </c>
      <c r="K1104" s="17" t="s">
        <v>208</v>
      </c>
      <c r="L1104" s="17"/>
      <c r="M1104" s="17" t="s">
        <v>207</v>
      </c>
      <c r="N1104" s="52" t="s">
        <v>207</v>
      </c>
      <c r="O1104" s="17" t="s">
        <v>94</v>
      </c>
      <c r="P1104" s="17" t="s">
        <v>94</v>
      </c>
      <c r="Q1104" s="81" t="s">
        <v>13058</v>
      </c>
      <c r="R1104" s="11">
        <v>29.530213</v>
      </c>
      <c r="S1104" s="11">
        <v>-83.088933999999995</v>
      </c>
      <c r="T1104" s="11" t="s">
        <v>13059</v>
      </c>
      <c r="U1104" s="11" t="s">
        <v>13060</v>
      </c>
      <c r="V1104" s="17" t="s">
        <v>13061</v>
      </c>
      <c r="W1104" s="17" t="s">
        <v>110</v>
      </c>
      <c r="X1104" s="70"/>
      <c r="Y1104" s="70"/>
      <c r="Z1104" s="13">
        <v>29774</v>
      </c>
      <c r="AA1104" s="13"/>
      <c r="AB1104" s="13"/>
      <c r="AC1104" s="13"/>
      <c r="AD1104" s="86"/>
      <c r="AE1104" s="70"/>
      <c r="AF1104" s="70" t="s">
        <v>207</v>
      </c>
      <c r="AG1104" s="14" t="s">
        <v>207</v>
      </c>
      <c r="AH1104" s="14" t="s">
        <v>207</v>
      </c>
      <c r="AI1104" s="70" t="s">
        <v>207</v>
      </c>
      <c r="AJ1104" s="14" t="s">
        <v>207</v>
      </c>
      <c r="AK1104" s="14" t="s">
        <v>207</v>
      </c>
      <c r="AL1104" s="14" t="s">
        <v>207</v>
      </c>
      <c r="AM1104" s="14" t="s">
        <v>207</v>
      </c>
      <c r="AN1104" s="14" t="s">
        <v>207</v>
      </c>
      <c r="AO1104" s="14" t="s">
        <v>207</v>
      </c>
      <c r="AP1104" s="14" t="s">
        <v>207</v>
      </c>
      <c r="AQ1104" s="14" t="s">
        <v>207</v>
      </c>
      <c r="AR1104" s="14" t="s">
        <v>207</v>
      </c>
      <c r="AS1104" s="14" t="s">
        <v>207</v>
      </c>
      <c r="AT1104" s="14" t="s">
        <v>207</v>
      </c>
      <c r="AU1104" s="30" t="s">
        <v>13062</v>
      </c>
      <c r="AV1104" s="14" t="s">
        <v>207</v>
      </c>
      <c r="AW1104" s="74"/>
      <c r="AX1104" s="1"/>
      <c r="AY1104" s="17" t="s">
        <v>101</v>
      </c>
    </row>
    <row r="1105" spans="1:51" ht="12.75" customHeight="1" x14ac:dyDescent="0.25">
      <c r="A1105" s="5">
        <v>1052</v>
      </c>
      <c r="B1105" s="9">
        <v>1052</v>
      </c>
      <c r="C1105" s="9" t="s">
        <v>13063</v>
      </c>
      <c r="D1105" s="57" t="str">
        <f>HYPERLINK("http://prodenv.dep.state.fl.us/DepNexus/public/electronic-documents/OG_1052/facility!search","OG_1052_Docs")</f>
        <v>OG_1052_Docs</v>
      </c>
      <c r="E1105" s="57" t="str">
        <f>HYPERLINK("https://ca.dep.state.fl.us/mapdirect/?focus=oilandgas&amp;zoom=query&amp;querytype=oilandgas&amp;queryvalues=OG_1052","OG_1052_Map")</f>
        <v>OG_1052_Map</v>
      </c>
      <c r="F1105" s="1" t="s">
        <v>127</v>
      </c>
      <c r="G1105" s="1" t="s">
        <v>79</v>
      </c>
      <c r="H1105" s="1" t="s">
        <v>8093</v>
      </c>
      <c r="I1105" s="1" t="s">
        <v>13064</v>
      </c>
      <c r="J1105" s="17" t="s">
        <v>82</v>
      </c>
      <c r="K1105" s="17" t="s">
        <v>83</v>
      </c>
      <c r="L1105" s="17"/>
      <c r="M1105" s="17"/>
      <c r="N1105" s="52" t="s">
        <v>13065</v>
      </c>
      <c r="O1105" s="17" t="s">
        <v>86</v>
      </c>
      <c r="P1105" s="17" t="s">
        <v>86</v>
      </c>
      <c r="Q1105" s="81" t="s">
        <v>13066</v>
      </c>
      <c r="R1105" s="11">
        <v>29.911912000000001</v>
      </c>
      <c r="S1105" s="11">
        <v>-83.223217000000005</v>
      </c>
      <c r="T1105" s="11" t="s">
        <v>13067</v>
      </c>
      <c r="U1105" s="11" t="s">
        <v>13068</v>
      </c>
      <c r="V1105" s="17" t="s">
        <v>13069</v>
      </c>
      <c r="W1105" s="17" t="s">
        <v>110</v>
      </c>
      <c r="X1105" s="70">
        <v>82</v>
      </c>
      <c r="Y1105" s="70">
        <v>60</v>
      </c>
      <c r="Z1105" s="13">
        <v>29774</v>
      </c>
      <c r="AA1105" s="13">
        <v>29793</v>
      </c>
      <c r="AB1105" s="13">
        <v>29942</v>
      </c>
      <c r="AC1105" s="13">
        <v>29942</v>
      </c>
      <c r="AD1105" s="86">
        <v>10077</v>
      </c>
      <c r="AE1105" s="86">
        <v>10077</v>
      </c>
      <c r="AF1105" s="70" t="s">
        <v>13070</v>
      </c>
      <c r="AG1105" s="17" t="s">
        <v>13071</v>
      </c>
      <c r="AH1105" s="17" t="s">
        <v>13072</v>
      </c>
      <c r="AI1105" s="70" t="s">
        <v>86</v>
      </c>
      <c r="AJ1105" s="17" t="s">
        <v>86</v>
      </c>
      <c r="AK1105" s="17" t="s">
        <v>95</v>
      </c>
      <c r="AL1105" s="17" t="s">
        <v>86</v>
      </c>
      <c r="AM1105" s="17" t="s">
        <v>825</v>
      </c>
      <c r="AN1105" s="17" t="s">
        <v>86</v>
      </c>
      <c r="AO1105" s="17" t="s">
        <v>98</v>
      </c>
      <c r="AP1105" s="17" t="s">
        <v>98</v>
      </c>
      <c r="AQ1105" s="17" t="s">
        <v>98</v>
      </c>
      <c r="AR1105" s="17" t="s">
        <v>94</v>
      </c>
      <c r="AS1105" s="17" t="s">
        <v>13073</v>
      </c>
      <c r="AT1105" s="17">
        <v>157</v>
      </c>
      <c r="AU1105" s="30" t="s">
        <v>13074</v>
      </c>
      <c r="AV1105" s="14">
        <v>15078</v>
      </c>
      <c r="AW1105" s="74"/>
      <c r="AX1105" s="1"/>
      <c r="AY1105" s="17" t="s">
        <v>101</v>
      </c>
    </row>
    <row r="1106" spans="1:51" ht="12.75" customHeight="1" x14ac:dyDescent="0.25">
      <c r="A1106" s="5">
        <v>1053</v>
      </c>
      <c r="B1106" s="9">
        <v>1053</v>
      </c>
      <c r="C1106" s="9" t="s">
        <v>13075</v>
      </c>
      <c r="D1106" s="57" t="str">
        <f>HYPERLINK("http://prodenv.dep.state.fl.us/DepNexus/public/electronic-documents/OG_1053/facility!search","OG_1053_Docs")</f>
        <v>OG_1053_Docs</v>
      </c>
      <c r="E1106" s="57" t="str">
        <f>HYPERLINK("https://ca.dep.state.fl.us/mapdirect/?focus=oilandgas&amp;zoom=query&amp;querytype=oilandgas&amp;queryvalues=OG_1053","OG_1053_Map")</f>
        <v>OG_1053_Map</v>
      </c>
      <c r="F1106" s="1" t="s">
        <v>1752</v>
      </c>
      <c r="G1106" s="1" t="s">
        <v>11251</v>
      </c>
      <c r="H1106" s="1" t="s">
        <v>12149</v>
      </c>
      <c r="I1106" s="1" t="s">
        <v>13076</v>
      </c>
      <c r="J1106" s="17" t="s">
        <v>82</v>
      </c>
      <c r="K1106" s="17" t="s">
        <v>83</v>
      </c>
      <c r="L1106" s="17"/>
      <c r="M1106" s="17"/>
      <c r="N1106" s="52" t="s">
        <v>13077</v>
      </c>
      <c r="O1106" s="17" t="s">
        <v>86</v>
      </c>
      <c r="P1106" s="17" t="s">
        <v>86</v>
      </c>
      <c r="Q1106" s="81" t="s">
        <v>13078</v>
      </c>
      <c r="R1106" s="11">
        <v>26.524421</v>
      </c>
      <c r="S1106" s="11">
        <v>-81.494594000000006</v>
      </c>
      <c r="T1106" s="11" t="s">
        <v>13079</v>
      </c>
      <c r="U1106" s="11" t="s">
        <v>13080</v>
      </c>
      <c r="V1106" s="17" t="s">
        <v>13081</v>
      </c>
      <c r="W1106" s="17" t="s">
        <v>110</v>
      </c>
      <c r="X1106" s="70">
        <v>54</v>
      </c>
      <c r="Y1106" s="70">
        <v>35</v>
      </c>
      <c r="Z1106" s="13">
        <v>29788</v>
      </c>
      <c r="AA1106" s="13">
        <v>29856</v>
      </c>
      <c r="AB1106" s="13"/>
      <c r="AC1106" s="13">
        <v>29901</v>
      </c>
      <c r="AD1106" s="86">
        <v>11528</v>
      </c>
      <c r="AE1106" s="86">
        <v>11528</v>
      </c>
      <c r="AF1106" s="70" t="s">
        <v>13082</v>
      </c>
      <c r="AG1106" s="17" t="s">
        <v>13083</v>
      </c>
      <c r="AH1106" s="17" t="s">
        <v>11261</v>
      </c>
      <c r="AI1106" s="70" t="s">
        <v>94</v>
      </c>
      <c r="AJ1106" s="17" t="s">
        <v>94</v>
      </c>
      <c r="AK1106" s="17" t="s">
        <v>95</v>
      </c>
      <c r="AL1106" s="17" t="s">
        <v>13084</v>
      </c>
      <c r="AM1106" s="17" t="s">
        <v>825</v>
      </c>
      <c r="AN1106" s="17" t="s">
        <v>86</v>
      </c>
      <c r="AO1106" s="17" t="s">
        <v>98</v>
      </c>
      <c r="AP1106" s="17" t="s">
        <v>98</v>
      </c>
      <c r="AQ1106" s="17" t="s">
        <v>98</v>
      </c>
      <c r="AR1106" s="17" t="s">
        <v>94</v>
      </c>
      <c r="AS1106" s="17" t="s">
        <v>13085</v>
      </c>
      <c r="AT1106" s="17">
        <v>168</v>
      </c>
      <c r="AU1106" s="30" t="s">
        <v>13086</v>
      </c>
      <c r="AV1106" s="14">
        <v>15094</v>
      </c>
      <c r="AW1106" s="74"/>
      <c r="AX1106" s="1"/>
      <c r="AY1106" s="17" t="s">
        <v>101</v>
      </c>
    </row>
    <row r="1107" spans="1:51" ht="12.75" customHeight="1" x14ac:dyDescent="0.25">
      <c r="A1107" s="5">
        <v>1054</v>
      </c>
      <c r="B1107" s="9">
        <v>1054</v>
      </c>
      <c r="C1107" s="9" t="s">
        <v>13087</v>
      </c>
      <c r="D1107" s="57" t="str">
        <f>HYPERLINK("http://prodenv.dep.state.fl.us/DepNexus/public/electronic-documents/OG_1054/facility!search","OG_1054_Docs")</f>
        <v>OG_1054_Docs</v>
      </c>
      <c r="E1107" s="57" t="str">
        <f>HYPERLINK("https://ca.dep.state.fl.us/mapdirect/?focus=oilandgas&amp;zoom=query&amp;querytype=oilandgas&amp;queryvalues=OG_1054","OG_1054_Map")</f>
        <v>OG_1054_Map</v>
      </c>
      <c r="F1107" s="1" t="s">
        <v>1797</v>
      </c>
      <c r="G1107" s="1" t="s">
        <v>5133</v>
      </c>
      <c r="H1107" s="1" t="s">
        <v>1363</v>
      </c>
      <c r="I1107" s="1" t="s">
        <v>13088</v>
      </c>
      <c r="J1107" s="17" t="s">
        <v>3646</v>
      </c>
      <c r="K1107" s="17" t="s">
        <v>412</v>
      </c>
      <c r="L1107" s="17"/>
      <c r="M1107" s="17"/>
      <c r="N1107" s="52" t="s">
        <v>13089</v>
      </c>
      <c r="O1107" s="17" t="s">
        <v>86</v>
      </c>
      <c r="P1107" s="17" t="s">
        <v>86</v>
      </c>
      <c r="Q1107" s="81" t="s">
        <v>6047</v>
      </c>
      <c r="R1107" s="11">
        <v>30.959751000000001</v>
      </c>
      <c r="S1107" s="11">
        <v>-87.141208000000006</v>
      </c>
      <c r="T1107" s="11" t="s">
        <v>13090</v>
      </c>
      <c r="U1107" s="11" t="s">
        <v>13091</v>
      </c>
      <c r="V1107" s="17" t="s">
        <v>13092</v>
      </c>
      <c r="W1107" s="17" t="s">
        <v>110</v>
      </c>
      <c r="X1107" s="70">
        <v>285</v>
      </c>
      <c r="Y1107" s="70">
        <v>255</v>
      </c>
      <c r="Z1107" s="13">
        <v>29802</v>
      </c>
      <c r="AA1107" s="13">
        <v>29905</v>
      </c>
      <c r="AB1107" s="13">
        <v>30010</v>
      </c>
      <c r="AC1107" s="13"/>
      <c r="AD1107" s="86">
        <v>15834</v>
      </c>
      <c r="AE1107" s="86">
        <v>15834</v>
      </c>
      <c r="AF1107" s="70" t="s">
        <v>11383</v>
      </c>
      <c r="AG1107" s="17" t="s">
        <v>13093</v>
      </c>
      <c r="AH1107" s="17" t="s">
        <v>86</v>
      </c>
      <c r="AI1107" s="70" t="s">
        <v>13094</v>
      </c>
      <c r="AJ1107" s="17" t="s">
        <v>13095</v>
      </c>
      <c r="AK1107" s="17" t="s">
        <v>825</v>
      </c>
      <c r="AL1107" s="17" t="s">
        <v>13096</v>
      </c>
      <c r="AM1107" s="17" t="s">
        <v>825</v>
      </c>
      <c r="AN1107" s="17" t="s">
        <v>86</v>
      </c>
      <c r="AO1107" s="17" t="s">
        <v>13097</v>
      </c>
      <c r="AP1107" s="17" t="s">
        <v>13098</v>
      </c>
      <c r="AQ1107" s="17" t="s">
        <v>13099</v>
      </c>
      <c r="AR1107" s="17" t="s">
        <v>13100</v>
      </c>
      <c r="AS1107" s="17"/>
      <c r="AT1107" s="17">
        <v>265</v>
      </c>
      <c r="AU1107" s="30" t="s">
        <v>13101</v>
      </c>
      <c r="AV1107" s="14">
        <v>15123</v>
      </c>
      <c r="AW1107" s="74">
        <v>309908</v>
      </c>
      <c r="AX1107" s="1" t="s">
        <v>13102</v>
      </c>
      <c r="AY1107" s="17" t="s">
        <v>101</v>
      </c>
    </row>
    <row r="1108" spans="1:51" ht="12.75" customHeight="1" x14ac:dyDescent="0.25">
      <c r="A1108" s="5">
        <v>1055</v>
      </c>
      <c r="B1108" s="9">
        <v>1055</v>
      </c>
      <c r="C1108" s="9" t="s">
        <v>13103</v>
      </c>
      <c r="D1108" s="57" t="str">
        <f>HYPERLINK("http://prodenv.dep.state.fl.us/DepNexus/public/electronic-documents/OG_1055/facility!search","OG_1055_Docs")</f>
        <v>OG_1055_Docs</v>
      </c>
      <c r="E1108" s="57" t="str">
        <f>HYPERLINK("https://ca.dep.state.fl.us/mapdirect/?focus=oilandgas&amp;zoom=query&amp;querytype=oilandgas&amp;queryvalues=OG_1055","OG_1055_Map")</f>
        <v>OG_1055_Map</v>
      </c>
      <c r="F1108" s="1" t="s">
        <v>1797</v>
      </c>
      <c r="G1108" s="1" t="s">
        <v>79</v>
      </c>
      <c r="H1108" s="1" t="s">
        <v>12990</v>
      </c>
      <c r="I1108" s="1" t="s">
        <v>13104</v>
      </c>
      <c r="J1108" s="17" t="s">
        <v>207</v>
      </c>
      <c r="K1108" s="17" t="s">
        <v>208</v>
      </c>
      <c r="L1108" s="17"/>
      <c r="M1108" s="17" t="s">
        <v>207</v>
      </c>
      <c r="N1108" s="52" t="s">
        <v>207</v>
      </c>
      <c r="O1108" s="17" t="s">
        <v>86</v>
      </c>
      <c r="P1108" s="17" t="s">
        <v>86</v>
      </c>
      <c r="Q1108" s="81" t="s">
        <v>13105</v>
      </c>
      <c r="R1108" s="11">
        <v>30.881014</v>
      </c>
      <c r="S1108" s="11">
        <v>-87.087742000000006</v>
      </c>
      <c r="T1108" s="11" t="s">
        <v>13106</v>
      </c>
      <c r="U1108" s="11" t="s">
        <v>13107</v>
      </c>
      <c r="V1108" s="17" t="s">
        <v>13108</v>
      </c>
      <c r="W1108" s="17" t="s">
        <v>110</v>
      </c>
      <c r="X1108" s="70"/>
      <c r="Y1108" s="70"/>
      <c r="Z1108" s="13">
        <v>29844</v>
      </c>
      <c r="AA1108" s="13"/>
      <c r="AB1108" s="13"/>
      <c r="AC1108" s="13"/>
      <c r="AD1108" s="86"/>
      <c r="AE1108" s="70"/>
      <c r="AF1108" s="70" t="s">
        <v>207</v>
      </c>
      <c r="AG1108" s="14" t="s">
        <v>207</v>
      </c>
      <c r="AH1108" s="14" t="s">
        <v>207</v>
      </c>
      <c r="AI1108" s="70" t="s">
        <v>207</v>
      </c>
      <c r="AJ1108" s="14" t="s">
        <v>207</v>
      </c>
      <c r="AK1108" s="14" t="s">
        <v>207</v>
      </c>
      <c r="AL1108" s="14" t="s">
        <v>207</v>
      </c>
      <c r="AM1108" s="14" t="s">
        <v>207</v>
      </c>
      <c r="AN1108" s="14" t="s">
        <v>207</v>
      </c>
      <c r="AO1108" s="14" t="s">
        <v>207</v>
      </c>
      <c r="AP1108" s="14" t="s">
        <v>207</v>
      </c>
      <c r="AQ1108" s="14" t="s">
        <v>207</v>
      </c>
      <c r="AR1108" s="14" t="s">
        <v>207</v>
      </c>
      <c r="AS1108" s="14" t="s">
        <v>207</v>
      </c>
      <c r="AT1108" s="14" t="s">
        <v>207</v>
      </c>
      <c r="AU1108" s="30" t="s">
        <v>13109</v>
      </c>
      <c r="AV1108" s="14" t="s">
        <v>207</v>
      </c>
      <c r="AW1108" s="74"/>
      <c r="AX1108" s="1"/>
      <c r="AY1108" s="17" t="s">
        <v>101</v>
      </c>
    </row>
    <row r="1109" spans="1:51" ht="15" customHeight="1" x14ac:dyDescent="0.25">
      <c r="A1109" s="5">
        <v>1056</v>
      </c>
      <c r="B1109" s="9">
        <v>1056</v>
      </c>
      <c r="C1109" s="9" t="s">
        <v>13110</v>
      </c>
      <c r="D1109" s="57" t="str">
        <f>HYPERLINK("http://prodenv.dep.state.fl.us/DepNexus/public/electronic-documents/OG_1056/facility!search","OG_1056_Docs")</f>
        <v>OG_1056_Docs</v>
      </c>
      <c r="E1109" s="57" t="str">
        <f>HYPERLINK("https://ca.dep.state.fl.us/mapdirect/?focus=oilandgas&amp;zoom=query&amp;querytype=oilandgas&amp;queryvalues=OG_1056","OG_1056_Map")</f>
        <v>OG_1056_Map</v>
      </c>
      <c r="F1109" s="1" t="s">
        <v>265</v>
      </c>
      <c r="G1109" s="1" t="s">
        <v>79</v>
      </c>
      <c r="H1109" s="1" t="s">
        <v>12149</v>
      </c>
      <c r="I1109" s="1" t="s">
        <v>13111</v>
      </c>
      <c r="J1109" s="17" t="s">
        <v>82</v>
      </c>
      <c r="K1109" s="17" t="s">
        <v>83</v>
      </c>
      <c r="L1109" s="17"/>
      <c r="M1109" s="17"/>
      <c r="N1109" s="52" t="s">
        <v>13112</v>
      </c>
      <c r="O1109" s="17" t="s">
        <v>86</v>
      </c>
      <c r="P1109" s="17" t="s">
        <v>86</v>
      </c>
      <c r="Q1109" s="81" t="s">
        <v>13113</v>
      </c>
      <c r="R1109" s="11">
        <v>26.432808000000001</v>
      </c>
      <c r="S1109" s="11">
        <v>-81.555300000000003</v>
      </c>
      <c r="T1109" s="11" t="s">
        <v>12453</v>
      </c>
      <c r="U1109" s="11" t="s">
        <v>12454</v>
      </c>
      <c r="V1109" s="17" t="s">
        <v>13114</v>
      </c>
      <c r="W1109" s="17" t="s">
        <v>13115</v>
      </c>
      <c r="X1109" s="70">
        <v>57</v>
      </c>
      <c r="Y1109" s="70">
        <v>40</v>
      </c>
      <c r="Z1109" s="13">
        <v>29865</v>
      </c>
      <c r="AA1109" s="13">
        <v>29970</v>
      </c>
      <c r="AB1109" s="13"/>
      <c r="AC1109" s="13">
        <v>30157</v>
      </c>
      <c r="AD1109" s="86">
        <v>11884</v>
      </c>
      <c r="AE1109" s="86">
        <v>12650</v>
      </c>
      <c r="AF1109" s="70" t="s">
        <v>12150</v>
      </c>
      <c r="AG1109" s="17" t="s">
        <v>12456</v>
      </c>
      <c r="AH1109" s="17" t="s">
        <v>13116</v>
      </c>
      <c r="AI1109" s="70" t="s">
        <v>13117</v>
      </c>
      <c r="AJ1109" s="17" t="s">
        <v>13118</v>
      </c>
      <c r="AK1109" s="17" t="s">
        <v>95</v>
      </c>
      <c r="AL1109" s="17" t="s">
        <v>13119</v>
      </c>
      <c r="AM1109" s="17" t="s">
        <v>825</v>
      </c>
      <c r="AN1109" s="17" t="s">
        <v>86</v>
      </c>
      <c r="AO1109" s="17" t="s">
        <v>7931</v>
      </c>
      <c r="AP1109" s="17" t="s">
        <v>6135</v>
      </c>
      <c r="AQ1109" s="17" t="s">
        <v>13120</v>
      </c>
      <c r="AR1109" s="17" t="s">
        <v>13121</v>
      </c>
      <c r="AS1109" s="17" t="s">
        <v>13122</v>
      </c>
      <c r="AT1109" s="17" t="s">
        <v>94</v>
      </c>
      <c r="AU1109" s="30" t="s">
        <v>13123</v>
      </c>
      <c r="AV1109" s="14">
        <v>15203</v>
      </c>
      <c r="AW1109" s="74"/>
      <c r="AX1109" s="1" t="s">
        <v>13124</v>
      </c>
      <c r="AY1109" s="17" t="s">
        <v>101</v>
      </c>
    </row>
    <row r="1110" spans="1:51" ht="12.75" customHeight="1" x14ac:dyDescent="0.25">
      <c r="A1110" s="5">
        <v>1057</v>
      </c>
      <c r="B1110" s="9">
        <v>1057</v>
      </c>
      <c r="C1110" s="9" t="s">
        <v>13125</v>
      </c>
      <c r="D1110" s="57" t="str">
        <f>HYPERLINK("http://prodenv.dep.state.fl.us/DepNexus/public/electronic-documents/OG_1057/facility!search","OG_1057_Docs")</f>
        <v>OG_1057_Docs</v>
      </c>
      <c r="E1110" s="57" t="str">
        <f>HYPERLINK("https://ca.dep.state.fl.us/mapdirect/?focus=oilandgas&amp;zoom=query&amp;querytype=oilandgas&amp;queryvalues=OG_1057","OG_1057_Map")</f>
        <v>OG_1057_Map</v>
      </c>
      <c r="F1110" s="1" t="s">
        <v>265</v>
      </c>
      <c r="G1110" s="1" t="s">
        <v>79</v>
      </c>
      <c r="H1110" s="1" t="s">
        <v>12149</v>
      </c>
      <c r="I1110" s="1" t="s">
        <v>13126</v>
      </c>
      <c r="J1110" s="17" t="s">
        <v>82</v>
      </c>
      <c r="K1110" s="17" t="s">
        <v>83</v>
      </c>
      <c r="L1110" s="17"/>
      <c r="M1110" s="17" t="s">
        <v>101</v>
      </c>
      <c r="N1110" s="52" t="s">
        <v>13127</v>
      </c>
      <c r="O1110" s="17" t="s">
        <v>86</v>
      </c>
      <c r="P1110" s="17" t="s">
        <v>86</v>
      </c>
      <c r="Q1110" s="81" t="s">
        <v>13128</v>
      </c>
      <c r="R1110" s="11">
        <v>26.475017000000001</v>
      </c>
      <c r="S1110" s="11">
        <v>-81.365790000000004</v>
      </c>
      <c r="T1110" s="11" t="s">
        <v>13129</v>
      </c>
      <c r="U1110" s="11" t="s">
        <v>13130</v>
      </c>
      <c r="V1110" s="17" t="s">
        <v>13131</v>
      </c>
      <c r="W1110" s="17" t="s">
        <v>110</v>
      </c>
      <c r="X1110" s="70">
        <v>48</v>
      </c>
      <c r="Y1110" s="70">
        <v>31</v>
      </c>
      <c r="Z1110" s="13">
        <v>29879</v>
      </c>
      <c r="AA1110" s="13">
        <v>29907</v>
      </c>
      <c r="AB1110" s="13"/>
      <c r="AC1110" s="13">
        <v>29942</v>
      </c>
      <c r="AD1110" s="86">
        <v>11543</v>
      </c>
      <c r="AE1110" s="86">
        <v>11543</v>
      </c>
      <c r="AF1110" s="70" t="s">
        <v>13132</v>
      </c>
      <c r="AG1110" s="17" t="s">
        <v>13133</v>
      </c>
      <c r="AH1110" s="17" t="s">
        <v>13134</v>
      </c>
      <c r="AI1110" s="70" t="s">
        <v>94</v>
      </c>
      <c r="AJ1110" s="17" t="s">
        <v>94</v>
      </c>
      <c r="AK1110" s="17" t="s">
        <v>95</v>
      </c>
      <c r="AL1110" s="17" t="s">
        <v>13135</v>
      </c>
      <c r="AM1110" s="17" t="s">
        <v>825</v>
      </c>
      <c r="AN1110" s="17" t="s">
        <v>86</v>
      </c>
      <c r="AO1110" s="17" t="s">
        <v>98</v>
      </c>
      <c r="AP1110" s="17" t="s">
        <v>98</v>
      </c>
      <c r="AQ1110" s="17" t="s">
        <v>98</v>
      </c>
      <c r="AR1110" s="17" t="s">
        <v>94</v>
      </c>
      <c r="AS1110" s="17" t="s">
        <v>13136</v>
      </c>
      <c r="AT1110" s="17">
        <v>163</v>
      </c>
      <c r="AU1110" s="30" t="s">
        <v>13137</v>
      </c>
      <c r="AV1110" s="14">
        <v>15131</v>
      </c>
      <c r="AW1110" s="74"/>
      <c r="AX1110" s="1"/>
      <c r="AY1110" s="17" t="s">
        <v>101</v>
      </c>
    </row>
    <row r="1111" spans="1:51" ht="12.75" customHeight="1" x14ac:dyDescent="0.25">
      <c r="A1111" s="5">
        <v>1058</v>
      </c>
      <c r="B1111" s="9">
        <v>1058</v>
      </c>
      <c r="C1111" s="9" t="s">
        <v>13138</v>
      </c>
      <c r="D1111" s="57" t="str">
        <f>HYPERLINK("http://prodenv.dep.state.fl.us/DepNexus/public/electronic-documents/OG_1058/facility!search","OG_1058_Docs")</f>
        <v>OG_1058_Docs</v>
      </c>
      <c r="E1111" s="57" t="str">
        <f>HYPERLINK("https://ca.dep.state.fl.us/mapdirect/?focus=oilandgas&amp;zoom=query&amp;querytype=oilandgas&amp;queryvalues=OG_1058","OG_1058_Map")</f>
        <v>OG_1058_Map</v>
      </c>
      <c r="F1111" s="1" t="s">
        <v>1752</v>
      </c>
      <c r="G1111" s="1" t="s">
        <v>79</v>
      </c>
      <c r="H1111" s="1" t="s">
        <v>8261</v>
      </c>
      <c r="I1111" s="1" t="s">
        <v>13139</v>
      </c>
      <c r="J1111" s="17" t="s">
        <v>82</v>
      </c>
      <c r="K1111" s="17" t="s">
        <v>83</v>
      </c>
      <c r="L1111" s="17"/>
      <c r="M1111" s="17"/>
      <c r="N1111" s="52" t="s">
        <v>6945</v>
      </c>
      <c r="O1111" s="17" t="s">
        <v>86</v>
      </c>
      <c r="P1111" s="17" t="s">
        <v>86</v>
      </c>
      <c r="Q1111" s="81" t="s">
        <v>13140</v>
      </c>
      <c r="R1111" s="11">
        <v>26.589126</v>
      </c>
      <c r="S1111" s="11">
        <v>-81.560377000000003</v>
      </c>
      <c r="T1111" s="11" t="s">
        <v>13141</v>
      </c>
      <c r="U1111" s="11" t="s">
        <v>13142</v>
      </c>
      <c r="V1111" s="17" t="s">
        <v>13143</v>
      </c>
      <c r="W1111" s="17" t="s">
        <v>110</v>
      </c>
      <c r="X1111" s="70">
        <v>51</v>
      </c>
      <c r="Y1111" s="70">
        <v>29</v>
      </c>
      <c r="Z1111" s="13">
        <v>29879</v>
      </c>
      <c r="AA1111" s="13">
        <v>30110</v>
      </c>
      <c r="AB1111" s="13"/>
      <c r="AC1111" s="13">
        <v>30144</v>
      </c>
      <c r="AD1111" s="86">
        <v>11567</v>
      </c>
      <c r="AE1111" s="86">
        <v>11567</v>
      </c>
      <c r="AF1111" s="70" t="s">
        <v>13144</v>
      </c>
      <c r="AG1111" s="17" t="s">
        <v>13145</v>
      </c>
      <c r="AH1111" s="17" t="s">
        <v>13146</v>
      </c>
      <c r="AI1111" s="70" t="s">
        <v>94</v>
      </c>
      <c r="AJ1111" s="17" t="s">
        <v>94</v>
      </c>
      <c r="AK1111" s="17" t="s">
        <v>95</v>
      </c>
      <c r="AL1111" s="17" t="s">
        <v>13147</v>
      </c>
      <c r="AM1111" s="17" t="s">
        <v>95</v>
      </c>
      <c r="AN1111" s="17" t="s">
        <v>86</v>
      </c>
      <c r="AO1111" s="17" t="s">
        <v>98</v>
      </c>
      <c r="AP1111" s="17" t="s">
        <v>98</v>
      </c>
      <c r="AQ1111" s="17" t="s">
        <v>98</v>
      </c>
      <c r="AR1111" s="17" t="s">
        <v>94</v>
      </c>
      <c r="AS1111" s="17" t="s">
        <v>13148</v>
      </c>
      <c r="AT1111" s="17">
        <v>169</v>
      </c>
      <c r="AU1111" s="30" t="s">
        <v>13149</v>
      </c>
      <c r="AV1111" s="14">
        <v>15170</v>
      </c>
      <c r="AW1111" s="74"/>
      <c r="AX1111" s="1"/>
      <c r="AY1111" s="17" t="s">
        <v>101</v>
      </c>
    </row>
    <row r="1112" spans="1:51" ht="12.75" customHeight="1" x14ac:dyDescent="0.25">
      <c r="A1112" s="5">
        <v>1059</v>
      </c>
      <c r="B1112" s="9">
        <v>1059</v>
      </c>
      <c r="C1112" s="9" t="s">
        <v>13150</v>
      </c>
      <c r="D1112" s="57" t="str">
        <f>HYPERLINK("http://prodenv.dep.state.fl.us/DepNexus/public/electronic-documents/OG_1059/facility!search","OG_1059_Docs")</f>
        <v>OG_1059_Docs</v>
      </c>
      <c r="E1112" s="57" t="str">
        <f>HYPERLINK("https://ca.dep.state.fl.us/mapdirect/?focus=oilandgas&amp;zoom=query&amp;querytype=oilandgas&amp;queryvalues=OG_1059","OG_1059_Map")</f>
        <v>OG_1059_Map</v>
      </c>
      <c r="F1112" s="1" t="s">
        <v>265</v>
      </c>
      <c r="G1112" s="1" t="s">
        <v>79</v>
      </c>
      <c r="H1112" s="1" t="s">
        <v>8261</v>
      </c>
      <c r="I1112" s="1" t="s">
        <v>13151</v>
      </c>
      <c r="J1112" s="17" t="s">
        <v>82</v>
      </c>
      <c r="K1112" s="17" t="s">
        <v>83</v>
      </c>
      <c r="L1112" s="17"/>
      <c r="M1112" s="17" t="s">
        <v>101</v>
      </c>
      <c r="N1112" s="52" t="s">
        <v>9129</v>
      </c>
      <c r="O1112" s="17" t="s">
        <v>270</v>
      </c>
      <c r="P1112" s="17" t="s">
        <v>86</v>
      </c>
      <c r="Q1112" s="81" t="s">
        <v>13152</v>
      </c>
      <c r="R1112" s="11">
        <v>26.145526</v>
      </c>
      <c r="S1112" s="11">
        <v>-81.109003000000001</v>
      </c>
      <c r="T1112" s="11" t="s">
        <v>13153</v>
      </c>
      <c r="U1112" s="11" t="s">
        <v>13154</v>
      </c>
      <c r="V1112" s="17" t="s">
        <v>13155</v>
      </c>
      <c r="W1112" s="17" t="s">
        <v>110</v>
      </c>
      <c r="X1112" s="70">
        <v>38</v>
      </c>
      <c r="Y1112" s="70">
        <v>15</v>
      </c>
      <c r="Z1112" s="13">
        <v>29879</v>
      </c>
      <c r="AA1112" s="13">
        <v>30057</v>
      </c>
      <c r="AB1112" s="13"/>
      <c r="AC1112" s="13">
        <v>30102</v>
      </c>
      <c r="AD1112" s="86">
        <v>11830</v>
      </c>
      <c r="AE1112" s="86">
        <v>11830</v>
      </c>
      <c r="AF1112" s="70" t="s">
        <v>13156</v>
      </c>
      <c r="AG1112" s="17" t="s">
        <v>13157</v>
      </c>
      <c r="AH1112" s="17" t="s">
        <v>13158</v>
      </c>
      <c r="AI1112" s="70" t="s">
        <v>13159</v>
      </c>
      <c r="AJ1112" s="17" t="s">
        <v>86</v>
      </c>
      <c r="AK1112" s="17" t="s">
        <v>95</v>
      </c>
      <c r="AL1112" s="17" t="s">
        <v>13160</v>
      </c>
      <c r="AM1112" s="17" t="s">
        <v>825</v>
      </c>
      <c r="AN1112" s="17" t="s">
        <v>86</v>
      </c>
      <c r="AO1112" s="17" t="s">
        <v>98</v>
      </c>
      <c r="AP1112" s="17" t="s">
        <v>98</v>
      </c>
      <c r="AQ1112" s="17" t="s">
        <v>98</v>
      </c>
      <c r="AR1112" s="17" t="s">
        <v>94</v>
      </c>
      <c r="AS1112" s="17" t="s">
        <v>13161</v>
      </c>
      <c r="AT1112" s="17">
        <v>183</v>
      </c>
      <c r="AU1112" s="30" t="s">
        <v>13162</v>
      </c>
      <c r="AV1112" s="14">
        <v>15152</v>
      </c>
      <c r="AW1112" s="74"/>
      <c r="AX1112" s="1"/>
      <c r="AY1112" s="17" t="s">
        <v>101</v>
      </c>
    </row>
    <row r="1113" spans="1:51" ht="12.75" customHeight="1" x14ac:dyDescent="0.25">
      <c r="A1113" s="5">
        <v>1060</v>
      </c>
      <c r="B1113" s="9">
        <v>1060</v>
      </c>
      <c r="C1113" s="9" t="s">
        <v>13163</v>
      </c>
      <c r="D1113" s="57" t="str">
        <f>HYPERLINK("http://prodenv.dep.state.fl.us/DepNexus/public/electronic-documents/OG_1060/facility!search","OG_1060_Docs")</f>
        <v>OG_1060_Docs</v>
      </c>
      <c r="E1113" s="57" t="str">
        <f>HYPERLINK("https://ca.dep.state.fl.us/mapdirect/?focus=oilandgas&amp;zoom=query&amp;querytype=oilandgas&amp;queryvalues=OG_1060","OG_1060_Map")</f>
        <v>OG_1060_Map</v>
      </c>
      <c r="F1113" s="1" t="s">
        <v>265</v>
      </c>
      <c r="G1113" s="1" t="s">
        <v>7239</v>
      </c>
      <c r="H1113" s="1" t="s">
        <v>12827</v>
      </c>
      <c r="I1113" s="1" t="s">
        <v>13164</v>
      </c>
      <c r="J1113" s="17" t="s">
        <v>3646</v>
      </c>
      <c r="K1113" s="17" t="s">
        <v>412</v>
      </c>
      <c r="L1113" s="17"/>
      <c r="M1113" s="17"/>
      <c r="N1113" s="52" t="s">
        <v>13165</v>
      </c>
      <c r="O1113" s="17" t="s">
        <v>270</v>
      </c>
      <c r="P1113" s="17" t="s">
        <v>3395</v>
      </c>
      <c r="Q1113" s="81" t="s">
        <v>7241</v>
      </c>
      <c r="R1113" s="11">
        <v>26.231231000000001</v>
      </c>
      <c r="S1113" s="11">
        <v>-81.288062999999994</v>
      </c>
      <c r="T1113" s="11" t="s">
        <v>13166</v>
      </c>
      <c r="U1113" s="11" t="s">
        <v>13167</v>
      </c>
      <c r="V1113" s="17" t="s">
        <v>13168</v>
      </c>
      <c r="W1113" s="17" t="s">
        <v>13169</v>
      </c>
      <c r="X1113" s="70">
        <v>40</v>
      </c>
      <c r="Y1113" s="70">
        <v>17</v>
      </c>
      <c r="Z1113" s="13">
        <v>29879</v>
      </c>
      <c r="AA1113" s="13">
        <v>30289</v>
      </c>
      <c r="AB1113" s="13">
        <v>30458</v>
      </c>
      <c r="AC1113" s="13">
        <v>38336</v>
      </c>
      <c r="AD1113" s="86">
        <v>11604</v>
      </c>
      <c r="AE1113" s="70">
        <v>11725</v>
      </c>
      <c r="AF1113" s="70" t="s">
        <v>13170</v>
      </c>
      <c r="AG1113" s="17" t="s">
        <v>13171</v>
      </c>
      <c r="AH1113" s="17" t="s">
        <v>12656</v>
      </c>
      <c r="AI1113" s="70" t="s">
        <v>13172</v>
      </c>
      <c r="AJ1113" s="17" t="s">
        <v>13173</v>
      </c>
      <c r="AK1113" s="17" t="s">
        <v>95</v>
      </c>
      <c r="AL1113" s="17" t="s">
        <v>13174</v>
      </c>
      <c r="AM1113" s="17" t="s">
        <v>825</v>
      </c>
      <c r="AN1113" s="17" t="s">
        <v>13175</v>
      </c>
      <c r="AO1113" s="17" t="s">
        <v>13176</v>
      </c>
      <c r="AP1113" s="17" t="s">
        <v>13177</v>
      </c>
      <c r="AQ1113" s="17" t="s">
        <v>13178</v>
      </c>
      <c r="AR1113" s="17" t="s">
        <v>13179</v>
      </c>
      <c r="AS1113" s="17" t="s">
        <v>13180</v>
      </c>
      <c r="AT1113" s="17">
        <v>164</v>
      </c>
      <c r="AU1113" s="30" t="s">
        <v>13181</v>
      </c>
      <c r="AV1113" s="14">
        <v>15291</v>
      </c>
      <c r="AW1113" s="74">
        <v>309816</v>
      </c>
      <c r="AX1113" s="1"/>
      <c r="AY1113" s="17" t="s">
        <v>101</v>
      </c>
    </row>
    <row r="1114" spans="1:51" ht="12.75" customHeight="1" x14ac:dyDescent="0.25">
      <c r="A1114" s="5">
        <v>1061</v>
      </c>
      <c r="B1114" s="9">
        <v>1061</v>
      </c>
      <c r="C1114" s="9" t="s">
        <v>13182</v>
      </c>
      <c r="D1114" s="57" t="str">
        <f>HYPERLINK("http://prodenv.dep.state.fl.us/DepNexus/public/electronic-documents/OG_1061/facility!search","OG_1061_Docs")</f>
        <v>OG_1061_Docs</v>
      </c>
      <c r="E1114" s="57" t="str">
        <f>HYPERLINK("https://ca.dep.state.fl.us/mapdirect/?focus=oilandgas&amp;zoom=query&amp;querytype=oilandgas&amp;queryvalues=OG_1061","OG_1061_Map")</f>
        <v>OG_1061_Map</v>
      </c>
      <c r="F1114" s="1" t="s">
        <v>265</v>
      </c>
      <c r="G1114" s="1" t="s">
        <v>10452</v>
      </c>
      <c r="H1114" s="1" t="s">
        <v>8318</v>
      </c>
      <c r="I1114" s="1" t="s">
        <v>13183</v>
      </c>
      <c r="J1114" s="17" t="s">
        <v>268</v>
      </c>
      <c r="K1114" s="17" t="s">
        <v>5048</v>
      </c>
      <c r="L1114" s="17"/>
      <c r="M1114" s="17"/>
      <c r="N1114" s="52" t="s">
        <v>13184</v>
      </c>
      <c r="O1114" s="17" t="s">
        <v>270</v>
      </c>
      <c r="P1114" s="17" t="s">
        <v>3395</v>
      </c>
      <c r="Q1114" s="81" t="s">
        <v>11421</v>
      </c>
      <c r="R1114" s="11">
        <v>25.982572999999999</v>
      </c>
      <c r="S1114" s="11">
        <v>-80.924334000000002</v>
      </c>
      <c r="T1114" s="11" t="s">
        <v>13185</v>
      </c>
      <c r="U1114" s="11" t="s">
        <v>13186</v>
      </c>
      <c r="V1114" s="17" t="s">
        <v>13187</v>
      </c>
      <c r="W1114" s="17" t="s">
        <v>13188</v>
      </c>
      <c r="X1114" s="70">
        <v>34</v>
      </c>
      <c r="Y1114" s="70">
        <v>12</v>
      </c>
      <c r="Z1114" s="13">
        <v>29893</v>
      </c>
      <c r="AA1114" s="13">
        <v>30758</v>
      </c>
      <c r="AB1114" s="13">
        <v>30857</v>
      </c>
      <c r="AC1114" s="13">
        <v>36014</v>
      </c>
      <c r="AD1114" s="86">
        <v>11457</v>
      </c>
      <c r="AE1114" s="86">
        <v>11980</v>
      </c>
      <c r="AF1114" s="70" t="s">
        <v>12593</v>
      </c>
      <c r="AG1114" s="17" t="s">
        <v>13189</v>
      </c>
      <c r="AH1114" s="17" t="s">
        <v>13190</v>
      </c>
      <c r="AI1114" s="70" t="s">
        <v>13191</v>
      </c>
      <c r="AJ1114" s="17" t="s">
        <v>13192</v>
      </c>
      <c r="AK1114" s="17" t="s">
        <v>13193</v>
      </c>
      <c r="AL1114" s="17" t="s">
        <v>13194</v>
      </c>
      <c r="AM1114" s="17" t="s">
        <v>825</v>
      </c>
      <c r="AN1114" s="17" t="s">
        <v>86</v>
      </c>
      <c r="AO1114" s="17" t="s">
        <v>13195</v>
      </c>
      <c r="AP1114" s="17" t="s">
        <v>6135</v>
      </c>
      <c r="AQ1114" s="17" t="s">
        <v>13196</v>
      </c>
      <c r="AR1114" s="17" t="s">
        <v>13197</v>
      </c>
      <c r="AS1114" s="17" t="s">
        <v>13198</v>
      </c>
      <c r="AT1114" s="17">
        <v>163</v>
      </c>
      <c r="AU1114" s="30" t="s">
        <v>13199</v>
      </c>
      <c r="AV1114" s="14">
        <v>15704</v>
      </c>
      <c r="AW1114" s="74">
        <v>314450</v>
      </c>
      <c r="AX1114" s="1"/>
      <c r="AY1114" s="17" t="s">
        <v>101</v>
      </c>
    </row>
    <row r="1115" spans="1:51" ht="15" customHeight="1" x14ac:dyDescent="0.25">
      <c r="A1115" s="5">
        <v>1062</v>
      </c>
      <c r="B1115" s="9">
        <v>1062</v>
      </c>
      <c r="C1115" s="9" t="s">
        <v>13200</v>
      </c>
      <c r="D1115" s="57" t="str">
        <f>HYPERLINK("http://prodenv.dep.state.fl.us/DepNexus/public/electronic-documents/OG_1062/facility!search","OG_1062_Docs")</f>
        <v>OG_1062_Docs</v>
      </c>
      <c r="E1115" s="57" t="str">
        <f>HYPERLINK("https://ca.dep.state.fl.us/mapdirect/?focus=oilandgas&amp;zoom=query&amp;querytype=oilandgas&amp;queryvalues=OG_1062","OG_1062_Map")</f>
        <v>OG_1062_Map</v>
      </c>
      <c r="F1115" s="1" t="s">
        <v>265</v>
      </c>
      <c r="G1115" s="1" t="s">
        <v>79</v>
      </c>
      <c r="H1115" s="1" t="s">
        <v>12078</v>
      </c>
      <c r="I1115" s="1" t="s">
        <v>13201</v>
      </c>
      <c r="J1115" s="17" t="s">
        <v>207</v>
      </c>
      <c r="K1115" s="17" t="s">
        <v>208</v>
      </c>
      <c r="L1115" s="17"/>
      <c r="M1115" s="17" t="s">
        <v>207</v>
      </c>
      <c r="N1115" s="52" t="s">
        <v>207</v>
      </c>
      <c r="O1115" s="17" t="s">
        <v>270</v>
      </c>
      <c r="P1115" s="17" t="s">
        <v>86</v>
      </c>
      <c r="Q1115" s="81" t="s">
        <v>13202</v>
      </c>
      <c r="R1115" s="11">
        <v>26.149927000000002</v>
      </c>
      <c r="S1115" s="11">
        <v>-81.051901999999998</v>
      </c>
      <c r="T1115" s="11" t="s">
        <v>13203</v>
      </c>
      <c r="U1115" s="11" t="s">
        <v>13204</v>
      </c>
      <c r="V1115" s="17" t="s">
        <v>13205</v>
      </c>
      <c r="W1115" s="17" t="s">
        <v>110</v>
      </c>
      <c r="X1115" s="70"/>
      <c r="Y1115" s="70"/>
      <c r="Z1115" s="13">
        <v>29893</v>
      </c>
      <c r="AA1115" s="13"/>
      <c r="AB1115" s="13"/>
      <c r="AC1115" s="13"/>
      <c r="AD1115" s="86"/>
      <c r="AE1115" s="70"/>
      <c r="AF1115" s="70" t="s">
        <v>207</v>
      </c>
      <c r="AG1115" s="14" t="s">
        <v>207</v>
      </c>
      <c r="AH1115" s="14" t="s">
        <v>207</v>
      </c>
      <c r="AI1115" s="70" t="s">
        <v>207</v>
      </c>
      <c r="AJ1115" s="14" t="s">
        <v>207</v>
      </c>
      <c r="AK1115" s="14" t="s">
        <v>207</v>
      </c>
      <c r="AL1115" s="14" t="s">
        <v>207</v>
      </c>
      <c r="AM1115" s="14" t="s">
        <v>207</v>
      </c>
      <c r="AN1115" s="14" t="s">
        <v>207</v>
      </c>
      <c r="AO1115" s="14" t="s">
        <v>207</v>
      </c>
      <c r="AP1115" s="14" t="s">
        <v>207</v>
      </c>
      <c r="AQ1115" s="14" t="s">
        <v>207</v>
      </c>
      <c r="AR1115" s="14" t="s">
        <v>207</v>
      </c>
      <c r="AS1115" s="14" t="s">
        <v>207</v>
      </c>
      <c r="AT1115" s="14" t="s">
        <v>207</v>
      </c>
      <c r="AU1115" s="30" t="s">
        <v>13206</v>
      </c>
      <c r="AV1115" s="14" t="s">
        <v>207</v>
      </c>
      <c r="AW1115" s="74"/>
      <c r="AX1115" s="1" t="s">
        <v>13207</v>
      </c>
      <c r="AY1115" s="17" t="s">
        <v>101</v>
      </c>
    </row>
    <row r="1116" spans="1:51" ht="15" customHeight="1" x14ac:dyDescent="0.25">
      <c r="A1116" s="5">
        <v>1063</v>
      </c>
      <c r="B1116" s="9">
        <v>1063</v>
      </c>
      <c r="C1116" s="9" t="s">
        <v>13208</v>
      </c>
      <c r="D1116" s="57" t="str">
        <f>HYPERLINK("http://prodenv.dep.state.fl.us/DepNexus/public/electronic-documents/OG_1063/facility!search","OG_1063_Docs")</f>
        <v>OG_1063_Docs</v>
      </c>
      <c r="E1116" s="57" t="str">
        <f>HYPERLINK("https://ca.dep.state.fl.us/mapdirect/?focus=oilandgas&amp;zoom=query&amp;querytype=oilandgas&amp;queryvalues=OG_1063","OG_1063_Map")</f>
        <v>OG_1063_Map</v>
      </c>
      <c r="F1116" s="1" t="s">
        <v>265</v>
      </c>
      <c r="G1116" s="1" t="s">
        <v>79</v>
      </c>
      <c r="H1116" s="1" t="s">
        <v>12078</v>
      </c>
      <c r="I1116" s="1" t="s">
        <v>13209</v>
      </c>
      <c r="J1116" s="17" t="s">
        <v>82</v>
      </c>
      <c r="K1116" s="17" t="s">
        <v>83</v>
      </c>
      <c r="L1116" s="17"/>
      <c r="M1116" s="17" t="s">
        <v>101</v>
      </c>
      <c r="N1116" s="52" t="s">
        <v>13210</v>
      </c>
      <c r="O1116" s="17" t="s">
        <v>270</v>
      </c>
      <c r="P1116" s="17" t="s">
        <v>86</v>
      </c>
      <c r="Q1116" s="81" t="s">
        <v>13211</v>
      </c>
      <c r="R1116" s="11">
        <v>26.101306000000001</v>
      </c>
      <c r="S1116" s="11">
        <v>-81.046145999999993</v>
      </c>
      <c r="T1116" s="11" t="s">
        <v>13212</v>
      </c>
      <c r="U1116" s="11" t="s">
        <v>13213</v>
      </c>
      <c r="V1116" s="17" t="s">
        <v>13214</v>
      </c>
      <c r="W1116" s="17" t="s">
        <v>110</v>
      </c>
      <c r="X1116" s="70">
        <v>35</v>
      </c>
      <c r="Y1116" s="70">
        <v>14</v>
      </c>
      <c r="Z1116" s="13">
        <v>29893</v>
      </c>
      <c r="AA1116" s="13">
        <v>30101</v>
      </c>
      <c r="AB1116" s="13"/>
      <c r="AC1116" s="13">
        <v>30133</v>
      </c>
      <c r="AD1116" s="86">
        <v>11760</v>
      </c>
      <c r="AE1116" s="86">
        <v>11760</v>
      </c>
      <c r="AF1116" s="70" t="s">
        <v>12733</v>
      </c>
      <c r="AG1116" s="17" t="s">
        <v>13215</v>
      </c>
      <c r="AH1116" s="17" t="s">
        <v>13216</v>
      </c>
      <c r="AI1116" s="70" t="s">
        <v>94</v>
      </c>
      <c r="AJ1116" s="17" t="s">
        <v>94</v>
      </c>
      <c r="AK1116" s="17" t="s">
        <v>95</v>
      </c>
      <c r="AL1116" s="17" t="s">
        <v>13217</v>
      </c>
      <c r="AM1116" s="17" t="s">
        <v>95</v>
      </c>
      <c r="AN1116" s="17" t="s">
        <v>13218</v>
      </c>
      <c r="AO1116" s="17" t="s">
        <v>7931</v>
      </c>
      <c r="AP1116" s="17" t="s">
        <v>6135</v>
      </c>
      <c r="AQ1116" s="17" t="s">
        <v>13219</v>
      </c>
      <c r="AR1116" s="17" t="s">
        <v>94</v>
      </c>
      <c r="AS1116" s="17" t="s">
        <v>13220</v>
      </c>
      <c r="AT1116" s="17">
        <v>192</v>
      </c>
      <c r="AU1116" s="30" t="s">
        <v>13221</v>
      </c>
      <c r="AV1116" s="14">
        <v>15169</v>
      </c>
      <c r="AW1116" s="74"/>
      <c r="AX1116" s="1"/>
      <c r="AY1116" s="17" t="s">
        <v>101</v>
      </c>
    </row>
    <row r="1117" spans="1:51" ht="12.75" customHeight="1" x14ac:dyDescent="0.25">
      <c r="A1117" s="5">
        <v>1064</v>
      </c>
      <c r="B1117" s="9">
        <v>1064</v>
      </c>
      <c r="C1117" s="9" t="s">
        <v>13222</v>
      </c>
      <c r="D1117" s="57" t="str">
        <f>HYPERLINK("http://prodenv.dep.state.fl.us/DepNexus/public/electronic-documents/OG_1064/facility!search","OG_1064_Docs")</f>
        <v>OG_1064_Docs</v>
      </c>
      <c r="E1117" s="57" t="str">
        <f>HYPERLINK("https://ca.dep.state.fl.us/mapdirect/?focus=oilandgas&amp;zoom=query&amp;querytype=oilandgas&amp;queryvalues=OG_1064","OG_1064_Map")</f>
        <v>OG_1064_Map</v>
      </c>
      <c r="F1117" s="1" t="s">
        <v>265</v>
      </c>
      <c r="G1117" s="1" t="s">
        <v>7239</v>
      </c>
      <c r="H1117" s="1" t="s">
        <v>1363</v>
      </c>
      <c r="I1117" s="1" t="s">
        <v>13223</v>
      </c>
      <c r="J1117" s="17" t="s">
        <v>3646</v>
      </c>
      <c r="K1117" s="17" t="s">
        <v>412</v>
      </c>
      <c r="L1117" s="17"/>
      <c r="M1117" s="17"/>
      <c r="N1117" s="52" t="s">
        <v>8161</v>
      </c>
      <c r="O1117" s="17" t="s">
        <v>270</v>
      </c>
      <c r="P1117" s="17" t="s">
        <v>3395</v>
      </c>
      <c r="Q1117" s="81" t="s">
        <v>10120</v>
      </c>
      <c r="R1117" s="11">
        <v>26.247330000000002</v>
      </c>
      <c r="S1117" s="11">
        <v>-81.305228999999997</v>
      </c>
      <c r="T1117" s="11" t="s">
        <v>13224</v>
      </c>
      <c r="U1117" s="11" t="s">
        <v>13225</v>
      </c>
      <c r="V1117" s="17" t="s">
        <v>13226</v>
      </c>
      <c r="W1117" s="17" t="s">
        <v>13227</v>
      </c>
      <c r="X1117" s="70">
        <v>41</v>
      </c>
      <c r="Y1117" s="70">
        <v>19</v>
      </c>
      <c r="Z1117" s="13">
        <v>29928</v>
      </c>
      <c r="AA1117" s="13">
        <v>30382</v>
      </c>
      <c r="AB1117" s="13">
        <v>30460</v>
      </c>
      <c r="AC1117" s="13"/>
      <c r="AD1117" s="86">
        <v>11579</v>
      </c>
      <c r="AE1117" s="70">
        <v>12003</v>
      </c>
      <c r="AF1117" s="70" t="s">
        <v>12150</v>
      </c>
      <c r="AG1117" s="17" t="s">
        <v>13228</v>
      </c>
      <c r="AH1117" s="17" t="s">
        <v>11286</v>
      </c>
      <c r="AI1117" s="70" t="s">
        <v>13229</v>
      </c>
      <c r="AJ1117" s="17" t="s">
        <v>13230</v>
      </c>
      <c r="AK1117" s="17" t="s">
        <v>94</v>
      </c>
      <c r="AL1117" s="17" t="s">
        <v>13231</v>
      </c>
      <c r="AM1117" s="17" t="s">
        <v>825</v>
      </c>
      <c r="AN1117" s="17" t="s">
        <v>86</v>
      </c>
      <c r="AO1117" s="17" t="s">
        <v>13232</v>
      </c>
      <c r="AP1117" s="17" t="s">
        <v>6135</v>
      </c>
      <c r="AQ1117" s="17" t="s">
        <v>11356</v>
      </c>
      <c r="AR1117" s="17" t="s">
        <v>13233</v>
      </c>
      <c r="AS1117" s="17"/>
      <c r="AT1117" s="17">
        <v>163</v>
      </c>
      <c r="AU1117" s="30" t="s">
        <v>13234</v>
      </c>
      <c r="AV1117" s="14">
        <v>15373</v>
      </c>
      <c r="AW1117" s="74">
        <v>306471</v>
      </c>
      <c r="AX1117" s="1"/>
      <c r="AY1117" s="17" t="s">
        <v>101</v>
      </c>
    </row>
    <row r="1118" spans="1:51" ht="12.75" customHeight="1" x14ac:dyDescent="0.25">
      <c r="A1118" s="5">
        <v>1065</v>
      </c>
      <c r="B1118" s="9">
        <v>1065</v>
      </c>
      <c r="C1118" s="9" t="s">
        <v>13235</v>
      </c>
      <c r="D1118" s="57" t="str">
        <f>HYPERLINK("http://prodenv.dep.state.fl.us/DepNexus/public/electronic-documents/OG_1065/facility!search","OG_1065_Docs")</f>
        <v>OG_1065_Docs</v>
      </c>
      <c r="E1118" s="57" t="str">
        <f>HYPERLINK("https://ca.dep.state.fl.us/mapdirect/?focus=oilandgas&amp;zoom=query&amp;querytype=oilandgas&amp;queryvalues=OG_1065","OG_1065_Map")</f>
        <v>OG_1065_Map</v>
      </c>
      <c r="F1118" s="1" t="s">
        <v>265</v>
      </c>
      <c r="G1118" s="1" t="s">
        <v>10836</v>
      </c>
      <c r="H1118" s="1" t="s">
        <v>8261</v>
      </c>
      <c r="I1118" s="1" t="s">
        <v>10903</v>
      </c>
      <c r="J1118" s="17" t="s">
        <v>82</v>
      </c>
      <c r="K1118" s="17" t="s">
        <v>83</v>
      </c>
      <c r="L1118" s="17"/>
      <c r="M1118" s="17" t="s">
        <v>101</v>
      </c>
      <c r="N1118" s="52" t="s">
        <v>13236</v>
      </c>
      <c r="O1118" s="17" t="s">
        <v>270</v>
      </c>
      <c r="P1118" s="17" t="s">
        <v>3395</v>
      </c>
      <c r="Q1118" s="81" t="s">
        <v>10904</v>
      </c>
      <c r="R1118" s="11">
        <v>26.163810999999999</v>
      </c>
      <c r="S1118" s="11">
        <v>-81.168837999999994</v>
      </c>
      <c r="T1118" s="11" t="s">
        <v>13237</v>
      </c>
      <c r="U1118" s="11" t="s">
        <v>13238</v>
      </c>
      <c r="V1118" s="17" t="s">
        <v>13239</v>
      </c>
      <c r="W1118" s="17" t="s">
        <v>110</v>
      </c>
      <c r="X1118" s="70">
        <v>37</v>
      </c>
      <c r="Y1118" s="70">
        <v>16</v>
      </c>
      <c r="Z1118" s="13">
        <v>29935</v>
      </c>
      <c r="AA1118" s="13">
        <v>30335</v>
      </c>
      <c r="AB1118" s="13"/>
      <c r="AC1118" s="13">
        <v>30370</v>
      </c>
      <c r="AD1118" s="86">
        <v>11800</v>
      </c>
      <c r="AE1118" s="86">
        <v>11800</v>
      </c>
      <c r="AF1118" s="70" t="s">
        <v>13240</v>
      </c>
      <c r="AG1118" s="17" t="s">
        <v>13241</v>
      </c>
      <c r="AH1118" s="17" t="s">
        <v>13242</v>
      </c>
      <c r="AI1118" s="70" t="s">
        <v>94</v>
      </c>
      <c r="AJ1118" s="17" t="s">
        <v>94</v>
      </c>
      <c r="AK1118" s="17" t="s">
        <v>95</v>
      </c>
      <c r="AL1118" s="17" t="s">
        <v>13243</v>
      </c>
      <c r="AM1118" s="17" t="s">
        <v>825</v>
      </c>
      <c r="AN1118" s="17" t="s">
        <v>86</v>
      </c>
      <c r="AO1118" s="17" t="s">
        <v>98</v>
      </c>
      <c r="AP1118" s="17" t="s">
        <v>98</v>
      </c>
      <c r="AQ1118" s="17" t="s">
        <v>98</v>
      </c>
      <c r="AR1118" s="17" t="s">
        <v>94</v>
      </c>
      <c r="AS1118" s="17" t="s">
        <v>13244</v>
      </c>
      <c r="AT1118" s="17">
        <v>200</v>
      </c>
      <c r="AU1118" s="30" t="s">
        <v>13245</v>
      </c>
      <c r="AV1118" s="14">
        <v>15317</v>
      </c>
      <c r="AW1118" s="74"/>
      <c r="AX1118" s="1"/>
      <c r="AY1118" s="17" t="s">
        <v>101</v>
      </c>
    </row>
    <row r="1119" spans="1:51" ht="15" customHeight="1" x14ac:dyDescent="0.25">
      <c r="A1119" s="5">
        <v>1066</v>
      </c>
      <c r="B1119" s="9">
        <v>1066</v>
      </c>
      <c r="C1119" s="9" t="s">
        <v>13246</v>
      </c>
      <c r="D1119" s="57" t="str">
        <f>HYPERLINK("http://prodenv.dep.state.fl.us/DepNexus/public/electronic-documents/OG_1066/facility!search","OG_1066_Docs")</f>
        <v>OG_1066_Docs</v>
      </c>
      <c r="E1119" s="57" t="str">
        <f>HYPERLINK("https://ca.dep.state.fl.us/mapdirect/?focus=oilandgas&amp;zoom=query&amp;querytype=oilandgas&amp;queryvalues=OG_1066","OG_1066_Map")</f>
        <v>OG_1066_Map</v>
      </c>
      <c r="F1119" s="1" t="s">
        <v>265</v>
      </c>
      <c r="G1119" s="1" t="s">
        <v>10836</v>
      </c>
      <c r="H1119" s="1" t="s">
        <v>8261</v>
      </c>
      <c r="I1119" s="1" t="s">
        <v>13247</v>
      </c>
      <c r="J1119" s="17" t="s">
        <v>207</v>
      </c>
      <c r="K1119" s="17" t="s">
        <v>208</v>
      </c>
      <c r="L1119" s="17"/>
      <c r="M1119" s="17" t="s">
        <v>207</v>
      </c>
      <c r="N1119" s="52" t="s">
        <v>207</v>
      </c>
      <c r="O1119" s="17" t="s">
        <v>270</v>
      </c>
      <c r="P1119" s="17" t="s">
        <v>3395</v>
      </c>
      <c r="Q1119" s="81" t="s">
        <v>13248</v>
      </c>
      <c r="R1119" s="11">
        <v>26.163551999999999</v>
      </c>
      <c r="S1119" s="11">
        <v>-81.168822000000006</v>
      </c>
      <c r="T1119" s="11" t="s">
        <v>13249</v>
      </c>
      <c r="U1119" s="11" t="s">
        <v>13250</v>
      </c>
      <c r="V1119" s="17" t="s">
        <v>13251</v>
      </c>
      <c r="W1119" s="17" t="s">
        <v>13252</v>
      </c>
      <c r="X1119" s="70"/>
      <c r="Y1119" s="70"/>
      <c r="Z1119" s="13">
        <v>29935</v>
      </c>
      <c r="AA1119" s="13"/>
      <c r="AB1119" s="13"/>
      <c r="AC1119" s="13"/>
      <c r="AD1119" s="86"/>
      <c r="AE1119" s="70"/>
      <c r="AF1119" s="70" t="s">
        <v>207</v>
      </c>
      <c r="AG1119" s="14" t="s">
        <v>207</v>
      </c>
      <c r="AH1119" s="14" t="s">
        <v>207</v>
      </c>
      <c r="AI1119" s="70" t="s">
        <v>207</v>
      </c>
      <c r="AJ1119" s="14" t="s">
        <v>207</v>
      </c>
      <c r="AK1119" s="14" t="s">
        <v>207</v>
      </c>
      <c r="AL1119" s="14" t="s">
        <v>207</v>
      </c>
      <c r="AM1119" s="14" t="s">
        <v>207</v>
      </c>
      <c r="AN1119" s="14" t="s">
        <v>207</v>
      </c>
      <c r="AO1119" s="14" t="s">
        <v>207</v>
      </c>
      <c r="AP1119" s="14" t="s">
        <v>207</v>
      </c>
      <c r="AQ1119" s="14" t="s">
        <v>207</v>
      </c>
      <c r="AR1119" s="14" t="s">
        <v>207</v>
      </c>
      <c r="AS1119" s="14" t="s">
        <v>207</v>
      </c>
      <c r="AT1119" s="14" t="s">
        <v>207</v>
      </c>
      <c r="AU1119" s="30" t="s">
        <v>1843</v>
      </c>
      <c r="AV1119" s="14" t="s">
        <v>207</v>
      </c>
      <c r="AW1119" s="74"/>
      <c r="AX1119" s="1"/>
      <c r="AY1119" s="17" t="s">
        <v>101</v>
      </c>
    </row>
    <row r="1120" spans="1:51" ht="12.75" customHeight="1" x14ac:dyDescent="0.25">
      <c r="A1120" s="5">
        <v>1067</v>
      </c>
      <c r="B1120" s="9">
        <v>1067</v>
      </c>
      <c r="C1120" s="9" t="s">
        <v>13253</v>
      </c>
      <c r="D1120" s="57" t="str">
        <f>HYPERLINK("http://prodenv.dep.state.fl.us/DepNexus/public/electronic-documents/OG_1067/facility!search","OG_1067_Docs")</f>
        <v>OG_1067_Docs</v>
      </c>
      <c r="E1120" s="57" t="str">
        <f>HYPERLINK("https://ca.dep.state.fl.us/mapdirect/?focus=oilandgas&amp;zoom=query&amp;querytype=oilandgas&amp;queryvalues=OG_1067","OG_1067_Map")</f>
        <v>OG_1067_Map</v>
      </c>
      <c r="F1120" s="1" t="s">
        <v>265</v>
      </c>
      <c r="G1120" s="1" t="s">
        <v>79</v>
      </c>
      <c r="H1120" s="1" t="s">
        <v>12078</v>
      </c>
      <c r="I1120" s="1" t="s">
        <v>13254</v>
      </c>
      <c r="J1120" s="17" t="s">
        <v>207</v>
      </c>
      <c r="K1120" s="17" t="s">
        <v>208</v>
      </c>
      <c r="L1120" s="17"/>
      <c r="M1120" s="17" t="s">
        <v>207</v>
      </c>
      <c r="N1120" s="52" t="s">
        <v>207</v>
      </c>
      <c r="O1120" s="17" t="s">
        <v>270</v>
      </c>
      <c r="P1120" s="17" t="s">
        <v>3395</v>
      </c>
      <c r="Q1120" s="81" t="s">
        <v>13255</v>
      </c>
      <c r="R1120" s="11">
        <v>26.055209000000001</v>
      </c>
      <c r="S1120" s="11">
        <v>-81.017302999999998</v>
      </c>
      <c r="T1120" s="11" t="s">
        <v>13256</v>
      </c>
      <c r="U1120" s="11" t="s">
        <v>13257</v>
      </c>
      <c r="V1120" s="17" t="s">
        <v>13258</v>
      </c>
      <c r="W1120" s="17" t="s">
        <v>110</v>
      </c>
      <c r="X1120" s="70"/>
      <c r="Y1120" s="70"/>
      <c r="Z1120" s="13">
        <v>29956</v>
      </c>
      <c r="AA1120" s="13"/>
      <c r="AB1120" s="13"/>
      <c r="AC1120" s="13"/>
      <c r="AD1120" s="86"/>
      <c r="AE1120" s="70"/>
      <c r="AF1120" s="70" t="s">
        <v>207</v>
      </c>
      <c r="AG1120" s="14" t="s">
        <v>207</v>
      </c>
      <c r="AH1120" s="14" t="s">
        <v>207</v>
      </c>
      <c r="AI1120" s="70" t="s">
        <v>207</v>
      </c>
      <c r="AJ1120" s="14" t="s">
        <v>207</v>
      </c>
      <c r="AK1120" s="14" t="s">
        <v>207</v>
      </c>
      <c r="AL1120" s="14" t="s">
        <v>207</v>
      </c>
      <c r="AM1120" s="14" t="s">
        <v>207</v>
      </c>
      <c r="AN1120" s="14" t="s">
        <v>207</v>
      </c>
      <c r="AO1120" s="14" t="s">
        <v>207</v>
      </c>
      <c r="AP1120" s="14" t="s">
        <v>207</v>
      </c>
      <c r="AQ1120" s="14" t="s">
        <v>207</v>
      </c>
      <c r="AR1120" s="14" t="s">
        <v>207</v>
      </c>
      <c r="AS1120" s="14" t="s">
        <v>207</v>
      </c>
      <c r="AT1120" s="14" t="s">
        <v>207</v>
      </c>
      <c r="AU1120" s="30" t="s">
        <v>1843</v>
      </c>
      <c r="AV1120" s="14" t="s">
        <v>207</v>
      </c>
      <c r="AW1120" s="74"/>
      <c r="AX1120" s="1"/>
      <c r="AY1120" s="17" t="s">
        <v>101</v>
      </c>
    </row>
    <row r="1121" spans="1:51" ht="12.75" customHeight="1" x14ac:dyDescent="0.25">
      <c r="A1121" s="5">
        <v>1068</v>
      </c>
      <c r="B1121" s="9">
        <v>1068</v>
      </c>
      <c r="C1121" s="9" t="s">
        <v>13259</v>
      </c>
      <c r="D1121" s="57" t="str">
        <f>HYPERLINK("http://prodenv.dep.state.fl.us/DepNexus/public/electronic-documents/OG_1068/facility!search","OG_1068_Docs")</f>
        <v>OG_1068_Docs</v>
      </c>
      <c r="E1121" s="57" t="str">
        <f>HYPERLINK("https://ca.dep.state.fl.us/mapdirect/?focus=oilandgas&amp;zoom=query&amp;querytype=oilandgas&amp;queryvalues=OG_1068","OG_1068_Map")</f>
        <v>OG_1068_Map</v>
      </c>
      <c r="F1121" s="1" t="s">
        <v>2026</v>
      </c>
      <c r="G1121" s="1" t="s">
        <v>79</v>
      </c>
      <c r="H1121" s="1" t="s">
        <v>12149</v>
      </c>
      <c r="I1121" s="1" t="s">
        <v>13260</v>
      </c>
      <c r="J1121" s="17" t="s">
        <v>82</v>
      </c>
      <c r="K1121" s="17" t="s">
        <v>83</v>
      </c>
      <c r="L1121" s="17" t="s">
        <v>101</v>
      </c>
      <c r="M1121" s="17" t="s">
        <v>101</v>
      </c>
      <c r="N1121" s="52" t="s">
        <v>13261</v>
      </c>
      <c r="O1121" s="17" t="s">
        <v>86</v>
      </c>
      <c r="P1121" s="17" t="s">
        <v>86</v>
      </c>
      <c r="Q1121" s="81" t="s">
        <v>13262</v>
      </c>
      <c r="R1121" s="11">
        <v>26.4681</v>
      </c>
      <c r="S1121" s="11">
        <v>-81.728780999999998</v>
      </c>
      <c r="T1121" s="11" t="s">
        <v>13263</v>
      </c>
      <c r="U1121" s="11" t="s">
        <v>13264</v>
      </c>
      <c r="V1121" s="17" t="s">
        <v>13265</v>
      </c>
      <c r="W1121" s="17" t="s">
        <v>110</v>
      </c>
      <c r="X1121" s="70">
        <v>43</v>
      </c>
      <c r="Y1121" s="70">
        <v>24</v>
      </c>
      <c r="Z1121" s="13">
        <v>29991</v>
      </c>
      <c r="AA1121" s="13">
        <v>30278</v>
      </c>
      <c r="AB1121" s="13"/>
      <c r="AC1121" s="13">
        <v>30318</v>
      </c>
      <c r="AD1121" s="86">
        <v>11918</v>
      </c>
      <c r="AE1121" s="86">
        <v>11918</v>
      </c>
      <c r="AF1121" s="70" t="s">
        <v>13266</v>
      </c>
      <c r="AG1121" s="17" t="s">
        <v>13267</v>
      </c>
      <c r="AH1121" s="17" t="s">
        <v>13268</v>
      </c>
      <c r="AI1121" s="70" t="s">
        <v>94</v>
      </c>
      <c r="AJ1121" s="17" t="s">
        <v>94</v>
      </c>
      <c r="AK1121" s="17" t="s">
        <v>95</v>
      </c>
      <c r="AL1121" s="17" t="s">
        <v>13269</v>
      </c>
      <c r="AM1121" s="17" t="s">
        <v>825</v>
      </c>
      <c r="AN1121" s="17" t="s">
        <v>13270</v>
      </c>
      <c r="AO1121" s="17" t="s">
        <v>3366</v>
      </c>
      <c r="AP1121" s="17" t="s">
        <v>6135</v>
      </c>
      <c r="AQ1121" s="17" t="s">
        <v>12881</v>
      </c>
      <c r="AR1121" s="17" t="s">
        <v>94</v>
      </c>
      <c r="AS1121" s="17" t="s">
        <v>13271</v>
      </c>
      <c r="AT1121" s="17">
        <v>190</v>
      </c>
      <c r="AU1121" s="30" t="s">
        <v>13272</v>
      </c>
      <c r="AV1121" s="14">
        <v>15285</v>
      </c>
      <c r="AW1121" s="74"/>
      <c r="AX1121" s="1"/>
      <c r="AY1121" s="17" t="s">
        <v>101</v>
      </c>
    </row>
    <row r="1122" spans="1:51" ht="12.75" customHeight="1" x14ac:dyDescent="0.25">
      <c r="A1122" s="5">
        <v>1069</v>
      </c>
      <c r="B1122" s="9">
        <v>1069</v>
      </c>
      <c r="C1122" s="9" t="s">
        <v>13273</v>
      </c>
      <c r="D1122" s="57" t="str">
        <f>HYPERLINK("http://prodenv.dep.state.fl.us/DepNexus/public/electronic-documents/OG_1069/facility!search","OG_1069_Docs")</f>
        <v>OG_1069_Docs</v>
      </c>
      <c r="E1122" s="57" t="str">
        <f>HYPERLINK("https://ca.dep.state.fl.us/mapdirect/?focus=oilandgas&amp;zoom=query&amp;querytype=oilandgas&amp;queryvalues=OG_1069","OG_1069_Map")</f>
        <v>OG_1069_Map</v>
      </c>
      <c r="F1122" s="1" t="s">
        <v>1797</v>
      </c>
      <c r="G1122" s="1" t="s">
        <v>79</v>
      </c>
      <c r="H1122" s="1" t="s">
        <v>12990</v>
      </c>
      <c r="I1122" s="1" t="s">
        <v>13274</v>
      </c>
      <c r="J1122" s="17" t="s">
        <v>82</v>
      </c>
      <c r="K1122" s="17" t="s">
        <v>83</v>
      </c>
      <c r="L1122" s="17"/>
      <c r="M1122" s="17"/>
      <c r="N1122" s="52" t="s">
        <v>13275</v>
      </c>
      <c r="O1122" s="17" t="s">
        <v>86</v>
      </c>
      <c r="P1122" s="17" t="s">
        <v>86</v>
      </c>
      <c r="Q1122" s="81" t="s">
        <v>13276</v>
      </c>
      <c r="R1122" s="11">
        <v>30.941756000000002</v>
      </c>
      <c r="S1122" s="11">
        <v>-87.108981</v>
      </c>
      <c r="T1122" s="11" t="s">
        <v>13277</v>
      </c>
      <c r="U1122" s="11" t="s">
        <v>13278</v>
      </c>
      <c r="V1122" s="17" t="s">
        <v>13279</v>
      </c>
      <c r="W1122" s="17" t="s">
        <v>110</v>
      </c>
      <c r="X1122" s="70">
        <v>231</v>
      </c>
      <c r="Y1122" s="70">
        <v>210</v>
      </c>
      <c r="Z1122" s="13">
        <v>29942</v>
      </c>
      <c r="AA1122" s="13">
        <v>29955</v>
      </c>
      <c r="AB1122" s="13"/>
      <c r="AC1122" s="13">
        <v>30076</v>
      </c>
      <c r="AD1122" s="86">
        <v>15530</v>
      </c>
      <c r="AE1122" s="86">
        <v>15530</v>
      </c>
      <c r="AF1122" s="70" t="s">
        <v>13280</v>
      </c>
      <c r="AG1122" s="17" t="s">
        <v>13281</v>
      </c>
      <c r="AH1122" s="17" t="s">
        <v>94</v>
      </c>
      <c r="AI1122" s="70" t="s">
        <v>86</v>
      </c>
      <c r="AJ1122" s="17" t="s">
        <v>86</v>
      </c>
      <c r="AK1122" s="17" t="s">
        <v>95</v>
      </c>
      <c r="AL1122" s="17" t="s">
        <v>86</v>
      </c>
      <c r="AM1122" s="17" t="s">
        <v>825</v>
      </c>
      <c r="AN1122" s="17" t="s">
        <v>94</v>
      </c>
      <c r="AO1122" s="17" t="s">
        <v>98</v>
      </c>
      <c r="AP1122" s="17" t="s">
        <v>98</v>
      </c>
      <c r="AQ1122" s="17" t="s">
        <v>98</v>
      </c>
      <c r="AR1122" s="17" t="s">
        <v>94</v>
      </c>
      <c r="AS1122" s="17" t="s">
        <v>13282</v>
      </c>
      <c r="AT1122" s="17">
        <v>248</v>
      </c>
      <c r="AU1122" s="30" t="s">
        <v>13283</v>
      </c>
      <c r="AV1122" s="14">
        <v>15716</v>
      </c>
      <c r="AW1122" s="74"/>
      <c r="AX1122" s="1"/>
      <c r="AY1122" s="17" t="s">
        <v>101</v>
      </c>
    </row>
    <row r="1123" spans="1:51" ht="12.75" customHeight="1" x14ac:dyDescent="0.25">
      <c r="A1123" s="5">
        <v>1070</v>
      </c>
      <c r="B1123" s="9">
        <v>1070</v>
      </c>
      <c r="C1123" s="9" t="s">
        <v>13284</v>
      </c>
      <c r="D1123" s="57" t="str">
        <f>HYPERLINK("http://prodenv.dep.state.fl.us/DepNexus/public/electronic-documents/OG_1070/facility!search","OG_1070_Docs")</f>
        <v>OG_1070_Docs</v>
      </c>
      <c r="E1123" s="57" t="str">
        <f>HYPERLINK("https://ca.dep.state.fl.us/mapdirect/?focus=oilandgas&amp;zoom=query&amp;querytype=oilandgas&amp;queryvalues=OG_1070","OG_1070_Map")</f>
        <v>OG_1070_Map</v>
      </c>
      <c r="F1123" s="1" t="s">
        <v>1752</v>
      </c>
      <c r="G1123" s="1" t="s">
        <v>13285</v>
      </c>
      <c r="H1123" s="1" t="s">
        <v>12149</v>
      </c>
      <c r="I1123" s="1" t="s">
        <v>13286</v>
      </c>
      <c r="J1123" s="17" t="s">
        <v>268</v>
      </c>
      <c r="K1123" s="17" t="s">
        <v>2105</v>
      </c>
      <c r="L1123" s="17"/>
      <c r="M1123" s="17" t="s">
        <v>101</v>
      </c>
      <c r="N1123" s="52" t="s">
        <v>13287</v>
      </c>
      <c r="O1123" s="17" t="s">
        <v>86</v>
      </c>
      <c r="P1123" s="17" t="s">
        <v>86</v>
      </c>
      <c r="Q1123" s="81" t="s">
        <v>13288</v>
      </c>
      <c r="R1123" s="11">
        <v>26.589701000000002</v>
      </c>
      <c r="S1123" s="11">
        <v>-81.496174999999994</v>
      </c>
      <c r="T1123" s="11" t="s">
        <v>13289</v>
      </c>
      <c r="U1123" s="11" t="s">
        <v>13290</v>
      </c>
      <c r="V1123" s="17" t="s">
        <v>13291</v>
      </c>
      <c r="W1123" s="17" t="s">
        <v>110</v>
      </c>
      <c r="X1123" s="70">
        <v>52</v>
      </c>
      <c r="Y1123" s="70">
        <v>31</v>
      </c>
      <c r="Z1123" s="13">
        <v>30000</v>
      </c>
      <c r="AA1123" s="13">
        <v>30087</v>
      </c>
      <c r="AB1123" s="13">
        <v>30124</v>
      </c>
      <c r="AC1123" s="13">
        <v>33695</v>
      </c>
      <c r="AD1123" s="86">
        <v>11462</v>
      </c>
      <c r="AE1123" s="86">
        <v>11462</v>
      </c>
      <c r="AF1123" s="70" t="s">
        <v>12799</v>
      </c>
      <c r="AG1123" s="17" t="s">
        <v>13292</v>
      </c>
      <c r="AH1123" s="17" t="s">
        <v>13293</v>
      </c>
      <c r="AI1123" s="70" t="s">
        <v>13294</v>
      </c>
      <c r="AJ1123" s="17" t="s">
        <v>13295</v>
      </c>
      <c r="AK1123" s="17" t="s">
        <v>95</v>
      </c>
      <c r="AL1123" s="17" t="s">
        <v>13296</v>
      </c>
      <c r="AM1123" s="17" t="s">
        <v>95</v>
      </c>
      <c r="AN1123" s="17" t="s">
        <v>86</v>
      </c>
      <c r="AO1123" s="17" t="s">
        <v>13297</v>
      </c>
      <c r="AP1123" s="17" t="s">
        <v>6135</v>
      </c>
      <c r="AQ1123" s="17" t="s">
        <v>13298</v>
      </c>
      <c r="AR1123" s="17" t="s">
        <v>13299</v>
      </c>
      <c r="AS1123" s="17" t="s">
        <v>13300</v>
      </c>
      <c r="AT1123" s="17">
        <v>156</v>
      </c>
      <c r="AU1123" s="30" t="s">
        <v>13301</v>
      </c>
      <c r="AV1123" s="14">
        <v>15153</v>
      </c>
      <c r="AW1123" s="74"/>
      <c r="AX1123" s="39" t="s">
        <v>13302</v>
      </c>
      <c r="AY1123" s="17" t="s">
        <v>101</v>
      </c>
    </row>
    <row r="1124" spans="1:51" ht="12.75" customHeight="1" x14ac:dyDescent="0.25">
      <c r="A1124" s="5">
        <v>1071</v>
      </c>
      <c r="B1124" s="9">
        <v>1071</v>
      </c>
      <c r="C1124" s="9" t="s">
        <v>13303</v>
      </c>
      <c r="D1124" s="57" t="str">
        <f>HYPERLINK("http://prodenv.dep.state.fl.us/DepNexus/public/electronic-documents/OG_1071/facility!search","OG_1071_Docs")</f>
        <v>OG_1071_Docs</v>
      </c>
      <c r="E1124" s="57" t="str">
        <f>HYPERLINK("https://ca.dep.state.fl.us/mapdirect/?focus=oilandgas&amp;zoom=query&amp;querytype=oilandgas&amp;queryvalues=OG_1071","OG_1071_Map")</f>
        <v>OG_1071_Map</v>
      </c>
      <c r="F1124" s="1" t="s">
        <v>265</v>
      </c>
      <c r="G1124" s="1" t="s">
        <v>11170</v>
      </c>
      <c r="H1124" s="1" t="s">
        <v>8261</v>
      </c>
      <c r="I1124" s="1" t="s">
        <v>11190</v>
      </c>
      <c r="J1124" s="17" t="s">
        <v>207</v>
      </c>
      <c r="K1124" s="17" t="s">
        <v>208</v>
      </c>
      <c r="L1124" s="17"/>
      <c r="M1124" s="17" t="s">
        <v>207</v>
      </c>
      <c r="N1124" s="52" t="s">
        <v>207</v>
      </c>
      <c r="O1124" s="17" t="s">
        <v>270</v>
      </c>
      <c r="P1124" s="17" t="s">
        <v>3395</v>
      </c>
      <c r="Q1124" s="81" t="s">
        <v>11191</v>
      </c>
      <c r="R1124" s="11">
        <v>26.195398999999998</v>
      </c>
      <c r="S1124" s="11">
        <v>-81.286978000000005</v>
      </c>
      <c r="T1124" s="11" t="s">
        <v>13304</v>
      </c>
      <c r="U1124" s="11" t="s">
        <v>13305</v>
      </c>
      <c r="V1124" s="17" t="s">
        <v>13306</v>
      </c>
      <c r="W1124" s="17" t="s">
        <v>13307</v>
      </c>
      <c r="X1124" s="70"/>
      <c r="Y1124" s="70"/>
      <c r="Z1124" s="13">
        <v>30026</v>
      </c>
      <c r="AA1124" s="13"/>
      <c r="AB1124" s="13"/>
      <c r="AC1124" s="13"/>
      <c r="AD1124" s="86"/>
      <c r="AE1124" s="70"/>
      <c r="AF1124" s="70" t="s">
        <v>207</v>
      </c>
      <c r="AG1124" s="14" t="s">
        <v>207</v>
      </c>
      <c r="AH1124" s="14" t="s">
        <v>207</v>
      </c>
      <c r="AI1124" s="70" t="s">
        <v>207</v>
      </c>
      <c r="AJ1124" s="14" t="s">
        <v>207</v>
      </c>
      <c r="AK1124" s="14" t="s">
        <v>207</v>
      </c>
      <c r="AL1124" s="14" t="s">
        <v>207</v>
      </c>
      <c r="AM1124" s="14" t="s">
        <v>207</v>
      </c>
      <c r="AN1124" s="14" t="s">
        <v>207</v>
      </c>
      <c r="AO1124" s="14" t="s">
        <v>207</v>
      </c>
      <c r="AP1124" s="14" t="s">
        <v>207</v>
      </c>
      <c r="AQ1124" s="14" t="s">
        <v>207</v>
      </c>
      <c r="AR1124" s="14" t="s">
        <v>207</v>
      </c>
      <c r="AS1124" s="14" t="s">
        <v>207</v>
      </c>
      <c r="AT1124" s="14" t="s">
        <v>207</v>
      </c>
      <c r="AU1124" s="30" t="s">
        <v>1843</v>
      </c>
      <c r="AV1124" s="14" t="s">
        <v>207</v>
      </c>
      <c r="AW1124" s="74"/>
      <c r="AX1124" s="1"/>
      <c r="AY1124" s="17" t="s">
        <v>101</v>
      </c>
    </row>
    <row r="1125" spans="1:51" ht="15" customHeight="1" x14ac:dyDescent="0.25">
      <c r="A1125" s="5">
        <v>1072</v>
      </c>
      <c r="B1125" s="9">
        <v>1072</v>
      </c>
      <c r="C1125" s="9" t="s">
        <v>13308</v>
      </c>
      <c r="D1125" s="57" t="str">
        <f>HYPERLINK("http://prodenv.dep.state.fl.us/DepNexus/public/electronic-documents/OG_1072/facility!search","OG_1072_Docs")</f>
        <v>OG_1072_Docs</v>
      </c>
      <c r="E1125" s="57" t="str">
        <f>HYPERLINK("https://ca.dep.state.fl.us/mapdirect/?focus=oilandgas&amp;zoom=query&amp;querytype=oilandgas&amp;queryvalues=OG_1072","OG_1072_Map")</f>
        <v>OG_1072_Map</v>
      </c>
      <c r="F1125" s="1" t="s">
        <v>265</v>
      </c>
      <c r="G1125" s="1" t="s">
        <v>79</v>
      </c>
      <c r="H1125" s="1" t="s">
        <v>12078</v>
      </c>
      <c r="I1125" s="1" t="s">
        <v>13309</v>
      </c>
      <c r="J1125" s="17" t="s">
        <v>207</v>
      </c>
      <c r="K1125" s="17" t="s">
        <v>208</v>
      </c>
      <c r="L1125" s="17"/>
      <c r="M1125" s="17" t="s">
        <v>207</v>
      </c>
      <c r="N1125" s="52" t="s">
        <v>207</v>
      </c>
      <c r="O1125" s="17" t="s">
        <v>270</v>
      </c>
      <c r="P1125" s="17" t="s">
        <v>3395</v>
      </c>
      <c r="Q1125" s="81" t="s">
        <v>13310</v>
      </c>
      <c r="R1125" s="11">
        <v>26.183882000000001</v>
      </c>
      <c r="S1125" s="11">
        <v>-81.208940999999996</v>
      </c>
      <c r="T1125" s="11" t="s">
        <v>13311</v>
      </c>
      <c r="U1125" s="11" t="s">
        <v>13312</v>
      </c>
      <c r="V1125" s="17" t="s">
        <v>13313</v>
      </c>
      <c r="W1125" s="17" t="s">
        <v>13314</v>
      </c>
      <c r="X1125" s="70"/>
      <c r="Y1125" s="70"/>
      <c r="Z1125" s="13">
        <v>30047</v>
      </c>
      <c r="AA1125" s="13"/>
      <c r="AB1125" s="13"/>
      <c r="AC1125" s="13"/>
      <c r="AD1125" s="86"/>
      <c r="AE1125" s="70"/>
      <c r="AF1125" s="70" t="s">
        <v>207</v>
      </c>
      <c r="AG1125" s="14" t="s">
        <v>207</v>
      </c>
      <c r="AH1125" s="14" t="s">
        <v>207</v>
      </c>
      <c r="AI1125" s="70" t="s">
        <v>207</v>
      </c>
      <c r="AJ1125" s="14" t="s">
        <v>207</v>
      </c>
      <c r="AK1125" s="14" t="s">
        <v>207</v>
      </c>
      <c r="AL1125" s="14" t="s">
        <v>207</v>
      </c>
      <c r="AM1125" s="14" t="s">
        <v>207</v>
      </c>
      <c r="AN1125" s="14" t="s">
        <v>207</v>
      </c>
      <c r="AO1125" s="14" t="s">
        <v>207</v>
      </c>
      <c r="AP1125" s="14" t="s">
        <v>207</v>
      </c>
      <c r="AQ1125" s="14" t="s">
        <v>207</v>
      </c>
      <c r="AR1125" s="14" t="s">
        <v>207</v>
      </c>
      <c r="AS1125" s="14" t="s">
        <v>207</v>
      </c>
      <c r="AT1125" s="14" t="s">
        <v>207</v>
      </c>
      <c r="AU1125" s="30" t="s">
        <v>1843</v>
      </c>
      <c r="AV1125" s="14" t="s">
        <v>207</v>
      </c>
      <c r="AW1125" s="74"/>
      <c r="AX1125" s="1"/>
      <c r="AY1125" s="17" t="s">
        <v>101</v>
      </c>
    </row>
    <row r="1126" spans="1:51" ht="12.75" customHeight="1" x14ac:dyDescent="0.25">
      <c r="A1126" s="5">
        <v>1073</v>
      </c>
      <c r="B1126" s="9">
        <v>1073</v>
      </c>
      <c r="C1126" s="9" t="s">
        <v>13315</v>
      </c>
      <c r="D1126" s="57" t="str">
        <f>HYPERLINK("http://prodenv.dep.state.fl.us/DepNexus/public/electronic-documents/OG_1073/facility!search","OG_1073_Docs")</f>
        <v>OG_1073_Docs</v>
      </c>
      <c r="E1126" s="57" t="str">
        <f>HYPERLINK("https://ca.dep.state.fl.us/mapdirect/?focus=oilandgas&amp;zoom=query&amp;querytype=oilandgas&amp;queryvalues=OG_1073","OG_1073_Map")</f>
        <v>OG_1073_Map</v>
      </c>
      <c r="F1126" s="1" t="s">
        <v>1797</v>
      </c>
      <c r="G1126" s="1" t="s">
        <v>5133</v>
      </c>
      <c r="H1126" s="1" t="s">
        <v>1363</v>
      </c>
      <c r="I1126" s="1" t="s">
        <v>13316</v>
      </c>
      <c r="J1126" s="17" t="s">
        <v>268</v>
      </c>
      <c r="K1126" s="17" t="s">
        <v>412</v>
      </c>
      <c r="L1126" s="17"/>
      <c r="M1126" s="17"/>
      <c r="N1126" s="52" t="s">
        <v>6046</v>
      </c>
      <c r="O1126" s="17" t="s">
        <v>86</v>
      </c>
      <c r="P1126" s="17" t="s">
        <v>86</v>
      </c>
      <c r="Q1126" s="81" t="s">
        <v>6853</v>
      </c>
      <c r="R1126" s="11">
        <v>30.948294000000001</v>
      </c>
      <c r="S1126" s="11">
        <v>-87.161624000000003</v>
      </c>
      <c r="T1126" s="11" t="s">
        <v>13317</v>
      </c>
      <c r="U1126" s="11" t="s">
        <v>13318</v>
      </c>
      <c r="V1126" s="17" t="s">
        <v>13319</v>
      </c>
      <c r="W1126" s="17" t="s">
        <v>13320</v>
      </c>
      <c r="X1126" s="70">
        <v>282</v>
      </c>
      <c r="Y1126" s="70">
        <v>260</v>
      </c>
      <c r="Z1126" s="13">
        <v>30083</v>
      </c>
      <c r="AA1126" s="13">
        <v>30135</v>
      </c>
      <c r="AB1126" s="13">
        <v>30270</v>
      </c>
      <c r="AC1126" s="13"/>
      <c r="AD1126" s="86">
        <v>15792</v>
      </c>
      <c r="AE1126" s="70">
        <v>15943</v>
      </c>
      <c r="AF1126" s="70" t="s">
        <v>11383</v>
      </c>
      <c r="AG1126" s="17" t="s">
        <v>11745</v>
      </c>
      <c r="AH1126" s="17" t="s">
        <v>86</v>
      </c>
      <c r="AI1126" s="70" t="s">
        <v>13321</v>
      </c>
      <c r="AJ1126" s="17" t="s">
        <v>13322</v>
      </c>
      <c r="AK1126" s="17" t="s">
        <v>825</v>
      </c>
      <c r="AL1126" s="17" t="s">
        <v>13323</v>
      </c>
      <c r="AM1126" s="17" t="s">
        <v>825</v>
      </c>
      <c r="AN1126" s="17" t="s">
        <v>86</v>
      </c>
      <c r="AO1126" s="17" t="s">
        <v>13324</v>
      </c>
      <c r="AP1126" s="17" t="s">
        <v>13325</v>
      </c>
      <c r="AQ1126" s="17" t="s">
        <v>13326</v>
      </c>
      <c r="AR1126" s="17" t="s">
        <v>13327</v>
      </c>
      <c r="AS1126" s="17"/>
      <c r="AT1126" s="17">
        <v>236</v>
      </c>
      <c r="AU1126" s="30" t="s">
        <v>13328</v>
      </c>
      <c r="AV1126" s="14">
        <v>15375</v>
      </c>
      <c r="AW1126" s="74">
        <v>302991</v>
      </c>
      <c r="AX1126" s="1"/>
      <c r="AY1126" s="17" t="s">
        <v>101</v>
      </c>
    </row>
    <row r="1127" spans="1:51" ht="12.75" customHeight="1" x14ac:dyDescent="0.25">
      <c r="A1127" s="5">
        <v>1074</v>
      </c>
      <c r="B1127" s="9">
        <v>1074</v>
      </c>
      <c r="C1127" s="9" t="s">
        <v>13329</v>
      </c>
      <c r="D1127" s="57" t="str">
        <f>HYPERLINK("http://prodenv.dep.state.fl.us/DepNexus/public/electronic-documents/OG_1074/facility!search","OG_1074_Docs")</f>
        <v>OG_1074_Docs</v>
      </c>
      <c r="E1127" s="57" t="str">
        <f>HYPERLINK("https://ca.dep.state.fl.us/mapdirect/?focus=oilandgas&amp;zoom=query&amp;querytype=oilandgas&amp;queryvalues=OG_1074","OG_1074_Map")</f>
        <v>OG_1074_Map</v>
      </c>
      <c r="F1127" s="1" t="s">
        <v>1682</v>
      </c>
      <c r="G1127" s="1" t="s">
        <v>79</v>
      </c>
      <c r="H1127" s="1" t="s">
        <v>13330</v>
      </c>
      <c r="I1127" s="1" t="s">
        <v>13331</v>
      </c>
      <c r="J1127" s="17" t="s">
        <v>82</v>
      </c>
      <c r="K1127" s="17" t="s">
        <v>83</v>
      </c>
      <c r="L1127" s="17"/>
      <c r="M1127" s="17"/>
      <c r="N1127" s="52" t="s">
        <v>13332</v>
      </c>
      <c r="O1127" s="17" t="s">
        <v>86</v>
      </c>
      <c r="P1127" s="17" t="s">
        <v>86</v>
      </c>
      <c r="Q1127" s="81" t="s">
        <v>13333</v>
      </c>
      <c r="R1127" s="11">
        <v>30.996027999999999</v>
      </c>
      <c r="S1127" s="11">
        <v>-87.338672000000003</v>
      </c>
      <c r="T1127" s="11" t="s">
        <v>13334</v>
      </c>
      <c r="U1127" s="11" t="s">
        <v>13335</v>
      </c>
      <c r="V1127" s="17" t="s">
        <v>13336</v>
      </c>
      <c r="W1127" s="17" t="s">
        <v>110</v>
      </c>
      <c r="X1127" s="70">
        <v>274</v>
      </c>
      <c r="Y1127" s="70">
        <v>250</v>
      </c>
      <c r="Z1127" s="13">
        <v>30123</v>
      </c>
      <c r="AA1127" s="13">
        <v>30140</v>
      </c>
      <c r="AB1127" s="13"/>
      <c r="AC1127" s="13">
        <v>30214</v>
      </c>
      <c r="AD1127" s="86">
        <v>16345</v>
      </c>
      <c r="AE1127" s="86">
        <v>16345</v>
      </c>
      <c r="AF1127" s="70" t="s">
        <v>13337</v>
      </c>
      <c r="AG1127" s="17" t="s">
        <v>13338</v>
      </c>
      <c r="AH1127" s="17" t="s">
        <v>94</v>
      </c>
      <c r="AI1127" s="70" t="s">
        <v>94</v>
      </c>
      <c r="AJ1127" s="17" t="s">
        <v>94</v>
      </c>
      <c r="AK1127" s="17" t="s">
        <v>95</v>
      </c>
      <c r="AL1127" s="17" t="s">
        <v>13339</v>
      </c>
      <c r="AM1127" s="17" t="s">
        <v>95</v>
      </c>
      <c r="AN1127" s="17" t="s">
        <v>86</v>
      </c>
      <c r="AO1127" s="17" t="s">
        <v>98</v>
      </c>
      <c r="AP1127" s="17" t="s">
        <v>98</v>
      </c>
      <c r="AQ1127" s="17" t="s">
        <v>98</v>
      </c>
      <c r="AR1127" s="17" t="s">
        <v>94</v>
      </c>
      <c r="AS1127" s="17" t="s">
        <v>13340</v>
      </c>
      <c r="AT1127" s="17">
        <v>264</v>
      </c>
      <c r="AU1127" s="30" t="s">
        <v>13341</v>
      </c>
      <c r="AV1127" s="14">
        <v>15216</v>
      </c>
      <c r="AW1127" s="74"/>
      <c r="AX1127" s="1"/>
      <c r="AY1127" s="17" t="s">
        <v>101</v>
      </c>
    </row>
    <row r="1128" spans="1:51" ht="15" customHeight="1" x14ac:dyDescent="0.25">
      <c r="A1128" s="5">
        <v>1075</v>
      </c>
      <c r="B1128" s="9">
        <v>1075</v>
      </c>
      <c r="C1128" s="9" t="s">
        <v>13342</v>
      </c>
      <c r="D1128" s="57" t="str">
        <f>HYPERLINK("http://prodenv.dep.state.fl.us/DepNexus/public/electronic-documents/OG_1075/facility!search","OG_1075_Docs")</f>
        <v>OG_1075_Docs</v>
      </c>
      <c r="E1128" s="57" t="str">
        <f>HYPERLINK("https://ca.dep.state.fl.us/mapdirect/?focus=oilandgas&amp;zoom=query&amp;querytype=oilandgas&amp;queryvalues=OG_1075","OG_1075_Map")</f>
        <v>OG_1075_Map</v>
      </c>
      <c r="F1128" s="1" t="s">
        <v>1797</v>
      </c>
      <c r="G1128" s="1" t="s">
        <v>1798</v>
      </c>
      <c r="H1128" s="1" t="s">
        <v>13343</v>
      </c>
      <c r="I1128" s="1" t="s">
        <v>13344</v>
      </c>
      <c r="J1128" s="17" t="s">
        <v>207</v>
      </c>
      <c r="K1128" s="17" t="s">
        <v>208</v>
      </c>
      <c r="L1128" s="17"/>
      <c r="M1128" s="17" t="s">
        <v>207</v>
      </c>
      <c r="N1128" s="52" t="s">
        <v>207</v>
      </c>
      <c r="O1128" s="17" t="s">
        <v>86</v>
      </c>
      <c r="P1128" s="17" t="s">
        <v>86</v>
      </c>
      <c r="Q1128" s="81" t="s">
        <v>13345</v>
      </c>
      <c r="R1128" s="11">
        <v>30.995964000000001</v>
      </c>
      <c r="S1128" s="11">
        <v>-87.134015000000005</v>
      </c>
      <c r="T1128" s="11" t="s">
        <v>13346</v>
      </c>
      <c r="U1128" s="11" t="s">
        <v>13347</v>
      </c>
      <c r="V1128" s="17" t="s">
        <v>13348</v>
      </c>
      <c r="W1128" s="17" t="s">
        <v>110</v>
      </c>
      <c r="X1128" s="70"/>
      <c r="Y1128" s="70"/>
      <c r="Z1128" s="13">
        <v>30123</v>
      </c>
      <c r="AA1128" s="13"/>
      <c r="AB1128" s="13"/>
      <c r="AC1128" s="13"/>
      <c r="AD1128" s="86"/>
      <c r="AE1128" s="70"/>
      <c r="AF1128" s="70" t="s">
        <v>207</v>
      </c>
      <c r="AG1128" s="14" t="s">
        <v>207</v>
      </c>
      <c r="AH1128" s="14" t="s">
        <v>207</v>
      </c>
      <c r="AI1128" s="70" t="s">
        <v>207</v>
      </c>
      <c r="AJ1128" s="14" t="s">
        <v>207</v>
      </c>
      <c r="AK1128" s="14" t="s">
        <v>207</v>
      </c>
      <c r="AL1128" s="14" t="s">
        <v>207</v>
      </c>
      <c r="AM1128" s="14" t="s">
        <v>207</v>
      </c>
      <c r="AN1128" s="14" t="s">
        <v>207</v>
      </c>
      <c r="AO1128" s="14" t="s">
        <v>207</v>
      </c>
      <c r="AP1128" s="14" t="s">
        <v>207</v>
      </c>
      <c r="AQ1128" s="14" t="s">
        <v>207</v>
      </c>
      <c r="AR1128" s="14" t="s">
        <v>207</v>
      </c>
      <c r="AS1128" s="14" t="s">
        <v>207</v>
      </c>
      <c r="AT1128" s="14" t="s">
        <v>207</v>
      </c>
      <c r="AU1128" s="30" t="s">
        <v>1843</v>
      </c>
      <c r="AV1128" s="14" t="s">
        <v>207</v>
      </c>
      <c r="AW1128" s="74"/>
      <c r="AX1128" s="1"/>
      <c r="AY1128" s="17" t="s">
        <v>101</v>
      </c>
    </row>
    <row r="1129" spans="1:51" ht="12.75" customHeight="1" x14ac:dyDescent="0.25">
      <c r="A1129" s="5">
        <v>1076</v>
      </c>
      <c r="B1129" s="9">
        <v>1076</v>
      </c>
      <c r="C1129" s="9" t="s">
        <v>13349</v>
      </c>
      <c r="D1129" s="57" t="str">
        <f>HYPERLINK("http://prodenv.dep.state.fl.us/DepNexus/public/electronic-documents/OG_1076/facility!search","OG_1076_Docs")</f>
        <v>OG_1076_Docs</v>
      </c>
      <c r="E1129" s="57" t="str">
        <f>HYPERLINK("https://ca.dep.state.fl.us/mapdirect/?focus=oilandgas&amp;zoom=query&amp;querytype=oilandgas&amp;queryvalues=OG_1076","OG_1076_Map")</f>
        <v>OG_1076_Map</v>
      </c>
      <c r="F1129" s="1" t="s">
        <v>1797</v>
      </c>
      <c r="G1129" s="1" t="s">
        <v>5133</v>
      </c>
      <c r="H1129" s="1" t="s">
        <v>1363</v>
      </c>
      <c r="I1129" s="1" t="s">
        <v>13350</v>
      </c>
      <c r="J1129" s="17" t="s">
        <v>268</v>
      </c>
      <c r="K1129" s="17" t="s">
        <v>412</v>
      </c>
      <c r="L1129" s="17"/>
      <c r="M1129" s="17"/>
      <c r="N1129" s="52" t="s">
        <v>13351</v>
      </c>
      <c r="O1129" s="17" t="s">
        <v>86</v>
      </c>
      <c r="P1129" s="17" t="s">
        <v>86</v>
      </c>
      <c r="Q1129" s="81" t="s">
        <v>13352</v>
      </c>
      <c r="R1129" s="11">
        <v>30.947013999999999</v>
      </c>
      <c r="S1129" s="11">
        <v>-87.151584999999997</v>
      </c>
      <c r="T1129" s="11" t="s">
        <v>13353</v>
      </c>
      <c r="U1129" s="11" t="s">
        <v>13354</v>
      </c>
      <c r="V1129" s="17" t="s">
        <v>13355</v>
      </c>
      <c r="W1129" s="17" t="s">
        <v>13356</v>
      </c>
      <c r="X1129" s="70">
        <v>281</v>
      </c>
      <c r="Y1129" s="70">
        <v>258</v>
      </c>
      <c r="Z1129" s="13">
        <v>30123</v>
      </c>
      <c r="AA1129" s="13">
        <v>30131</v>
      </c>
      <c r="AB1129" s="13">
        <v>30227</v>
      </c>
      <c r="AC1129" s="13">
        <v>41387</v>
      </c>
      <c r="AD1129" s="86">
        <v>15844</v>
      </c>
      <c r="AE1129" s="70">
        <v>15943</v>
      </c>
      <c r="AF1129" s="70" t="s">
        <v>11383</v>
      </c>
      <c r="AG1129" s="17" t="s">
        <v>13357</v>
      </c>
      <c r="AH1129" s="17" t="s">
        <v>86</v>
      </c>
      <c r="AI1129" s="70" t="s">
        <v>13358</v>
      </c>
      <c r="AJ1129" s="17" t="s">
        <v>13359</v>
      </c>
      <c r="AK1129" s="17" t="s">
        <v>825</v>
      </c>
      <c r="AL1129" s="17" t="s">
        <v>13360</v>
      </c>
      <c r="AM1129" s="17" t="s">
        <v>825</v>
      </c>
      <c r="AN1129" s="17" t="s">
        <v>86</v>
      </c>
      <c r="AO1129" s="17" t="s">
        <v>13361</v>
      </c>
      <c r="AP1129" s="17" t="s">
        <v>13362</v>
      </c>
      <c r="AQ1129" s="17" t="s">
        <v>13363</v>
      </c>
      <c r="AR1129" s="17" t="s">
        <v>13364</v>
      </c>
      <c r="AS1129" s="17" t="s">
        <v>13365</v>
      </c>
      <c r="AT1129" s="17">
        <v>255</v>
      </c>
      <c r="AU1129" s="30" t="s">
        <v>13366</v>
      </c>
      <c r="AV1129" s="14">
        <v>15252</v>
      </c>
      <c r="AW1129" s="74">
        <v>302993</v>
      </c>
      <c r="AX1129" s="1"/>
      <c r="AY1129" s="17" t="s">
        <v>101</v>
      </c>
    </row>
    <row r="1130" spans="1:51" ht="12.75" customHeight="1" x14ac:dyDescent="0.25">
      <c r="A1130" s="5">
        <v>1077</v>
      </c>
      <c r="B1130" s="9">
        <v>1077</v>
      </c>
      <c r="C1130" s="9" t="s">
        <v>13367</v>
      </c>
      <c r="D1130" s="57" t="str">
        <f>HYPERLINK("http://prodenv.dep.state.fl.us/DepNexus/public/electronic-documents/OG_1077/facility!search","OG_1077_Docs")</f>
        <v>OG_1077_Docs</v>
      </c>
      <c r="E1130" s="57" t="str">
        <f>HYPERLINK("https://ca.dep.state.fl.us/mapdirect/?focus=oilandgas&amp;zoom=query&amp;querytype=oilandgas&amp;queryvalues=OG_1077","OG_1077_Map")</f>
        <v>OG_1077_Map</v>
      </c>
      <c r="F1130" s="1" t="s">
        <v>265</v>
      </c>
      <c r="G1130" s="1" t="s">
        <v>79</v>
      </c>
      <c r="H1130" s="1" t="s">
        <v>12149</v>
      </c>
      <c r="I1130" s="1" t="s">
        <v>13368</v>
      </c>
      <c r="J1130" s="17" t="s">
        <v>82</v>
      </c>
      <c r="K1130" s="17" t="s">
        <v>83</v>
      </c>
      <c r="L1130" s="17"/>
      <c r="M1130" s="17"/>
      <c r="N1130" s="52" t="s">
        <v>13369</v>
      </c>
      <c r="O1130" s="17" t="s">
        <v>86</v>
      </c>
      <c r="P1130" s="17" t="s">
        <v>86</v>
      </c>
      <c r="Q1130" s="81" t="s">
        <v>13370</v>
      </c>
      <c r="R1130" s="11">
        <v>26.502500000000001</v>
      </c>
      <c r="S1130" s="11">
        <v>-81.533553999999995</v>
      </c>
      <c r="T1130" s="11" t="s">
        <v>13371</v>
      </c>
      <c r="U1130" s="11" t="s">
        <v>13372</v>
      </c>
      <c r="V1130" s="17" t="s">
        <v>13373</v>
      </c>
      <c r="W1130" s="17" t="s">
        <v>110</v>
      </c>
      <c r="X1130" s="70">
        <v>49</v>
      </c>
      <c r="Y1130" s="70">
        <v>28</v>
      </c>
      <c r="Z1130" s="13">
        <v>30123</v>
      </c>
      <c r="AA1130" s="13">
        <v>30161</v>
      </c>
      <c r="AB1130" s="13">
        <v>33796</v>
      </c>
      <c r="AC1130" s="13">
        <v>30196</v>
      </c>
      <c r="AD1130" s="86">
        <v>11543</v>
      </c>
      <c r="AE1130" s="86">
        <v>11543</v>
      </c>
      <c r="AF1130" s="70" t="s">
        <v>13374</v>
      </c>
      <c r="AG1130" s="17" t="s">
        <v>13375</v>
      </c>
      <c r="AH1130" s="17" t="s">
        <v>13376</v>
      </c>
      <c r="AI1130" s="70" t="s">
        <v>94</v>
      </c>
      <c r="AJ1130" s="17" t="s">
        <v>94</v>
      </c>
      <c r="AK1130" s="17" t="s">
        <v>95</v>
      </c>
      <c r="AL1130" s="17" t="s">
        <v>13377</v>
      </c>
      <c r="AM1130" s="17" t="s">
        <v>825</v>
      </c>
      <c r="AN1130" s="17" t="s">
        <v>86</v>
      </c>
      <c r="AO1130" s="17" t="s">
        <v>98</v>
      </c>
      <c r="AP1130" s="17" t="s">
        <v>98</v>
      </c>
      <c r="AQ1130" s="17" t="s">
        <v>98</v>
      </c>
      <c r="AR1130" s="17" t="s">
        <v>94</v>
      </c>
      <c r="AS1130" s="17" t="s">
        <v>13378</v>
      </c>
      <c r="AT1130" s="17">
        <v>185</v>
      </c>
      <c r="AU1130" s="30" t="s">
        <v>13379</v>
      </c>
      <c r="AV1130" s="14">
        <v>15213</v>
      </c>
      <c r="AW1130" s="74"/>
      <c r="AX1130" s="1"/>
      <c r="AY1130" s="17" t="s">
        <v>101</v>
      </c>
    </row>
    <row r="1131" spans="1:51" ht="15" customHeight="1" x14ac:dyDescent="0.25">
      <c r="A1131" s="5">
        <v>1078</v>
      </c>
      <c r="B1131" s="9">
        <v>1078</v>
      </c>
      <c r="C1131" s="9" t="s">
        <v>13380</v>
      </c>
      <c r="D1131" s="57" t="str">
        <f>HYPERLINK("http://prodenv.dep.state.fl.us/DepNexus/public/electronic-documents/OG_1078/facility!search","OG_1078_Docs")</f>
        <v>OG_1078_Docs</v>
      </c>
      <c r="E1131" s="57" t="str">
        <f>HYPERLINK("https://ca.dep.state.fl.us/mapdirect/?focus=oilandgas&amp;zoom=query&amp;querytype=oilandgas&amp;queryvalues=OG_1078","OG_1078_Map")</f>
        <v>OG_1078_Map</v>
      </c>
      <c r="F1131" s="1" t="s">
        <v>1797</v>
      </c>
      <c r="G1131" s="1" t="s">
        <v>5133</v>
      </c>
      <c r="H1131" s="1" t="s">
        <v>1363</v>
      </c>
      <c r="I1131" s="1" t="s">
        <v>13381</v>
      </c>
      <c r="J1131" s="17" t="s">
        <v>1365</v>
      </c>
      <c r="K1131" s="17" t="s">
        <v>13016</v>
      </c>
      <c r="L1131" s="17"/>
      <c r="M1131" s="17"/>
      <c r="N1131" s="52" t="s">
        <v>4735</v>
      </c>
      <c r="O1131" s="17" t="s">
        <v>86</v>
      </c>
      <c r="P1131" s="17" t="s">
        <v>86</v>
      </c>
      <c r="Q1131" s="81" t="s">
        <v>5527</v>
      </c>
      <c r="R1131" s="11">
        <v>30.957135999999998</v>
      </c>
      <c r="S1131" s="11">
        <v>-87.184628000000004</v>
      </c>
      <c r="T1131" s="11" t="s">
        <v>13382</v>
      </c>
      <c r="U1131" s="11" t="s">
        <v>13383</v>
      </c>
      <c r="V1131" s="17" t="s">
        <v>13384</v>
      </c>
      <c r="W1131" s="17" t="s">
        <v>110</v>
      </c>
      <c r="X1131" s="70">
        <v>206</v>
      </c>
      <c r="Y1131" s="70">
        <v>197</v>
      </c>
      <c r="Z1131" s="13">
        <v>30105</v>
      </c>
      <c r="AA1131" s="13">
        <v>30104</v>
      </c>
      <c r="AB1131" s="13">
        <v>30149</v>
      </c>
      <c r="AC1131" s="13"/>
      <c r="AD1131" s="86">
        <v>6786</v>
      </c>
      <c r="AE1131" s="86">
        <v>6786</v>
      </c>
      <c r="AF1131" s="70" t="s">
        <v>11383</v>
      </c>
      <c r="AG1131" s="17" t="s">
        <v>13385</v>
      </c>
      <c r="AH1131" s="17" t="s">
        <v>86</v>
      </c>
      <c r="AI1131" s="70" t="s">
        <v>13386</v>
      </c>
      <c r="AJ1131" s="17" t="s">
        <v>13387</v>
      </c>
      <c r="AK1131" s="17" t="s">
        <v>825</v>
      </c>
      <c r="AL1131" s="17" t="s">
        <v>13388</v>
      </c>
      <c r="AM1131" s="17" t="s">
        <v>825</v>
      </c>
      <c r="AN1131" s="17" t="s">
        <v>86</v>
      </c>
      <c r="AO1131" s="17" t="s">
        <v>94</v>
      </c>
      <c r="AP1131" s="17" t="s">
        <v>94</v>
      </c>
      <c r="AQ1131" s="17" t="s">
        <v>94</v>
      </c>
      <c r="AR1131" s="17" t="s">
        <v>13389</v>
      </c>
      <c r="AS1131" s="17" t="s">
        <v>86</v>
      </c>
      <c r="AT1131" s="17">
        <v>150</v>
      </c>
      <c r="AU1131" s="30" t="s">
        <v>13390</v>
      </c>
      <c r="AV1131" s="14">
        <v>15251</v>
      </c>
      <c r="AW1131" s="74">
        <v>311641</v>
      </c>
      <c r="AX1131" s="1" t="s">
        <v>13391</v>
      </c>
      <c r="AY1131" s="17" t="s">
        <v>101</v>
      </c>
    </row>
    <row r="1132" spans="1:51" ht="15" customHeight="1" x14ac:dyDescent="0.25">
      <c r="A1132" s="5">
        <v>1079</v>
      </c>
      <c r="B1132" s="9">
        <v>1079</v>
      </c>
      <c r="C1132" s="9" t="s">
        <v>13392</v>
      </c>
      <c r="D1132" s="57" t="str">
        <f>HYPERLINK("http://prodenv.dep.state.fl.us/DepNexus/public/electronic-documents/OG_1079/facility!search","OG_1079_Docs")</f>
        <v>OG_1079_Docs</v>
      </c>
      <c r="E1132" s="57" t="str">
        <f>HYPERLINK("https://ca.dep.state.fl.us/mapdirect/?focus=oilandgas&amp;zoom=query&amp;querytype=oilandgas&amp;queryvalues=OG_1079","OG_1079_Map")</f>
        <v>OG_1079_Map</v>
      </c>
      <c r="F1132" s="1" t="s">
        <v>1797</v>
      </c>
      <c r="G1132" s="1" t="s">
        <v>1798</v>
      </c>
      <c r="H1132" s="1" t="s">
        <v>13393</v>
      </c>
      <c r="I1132" s="1" t="s">
        <v>13394</v>
      </c>
      <c r="J1132" s="17" t="s">
        <v>82</v>
      </c>
      <c r="K1132" s="17" t="s">
        <v>83</v>
      </c>
      <c r="L1132" s="17"/>
      <c r="M1132" s="17"/>
      <c r="N1132" s="52" t="s">
        <v>13395</v>
      </c>
      <c r="O1132" s="17" t="s">
        <v>86</v>
      </c>
      <c r="P1132" s="17" t="s">
        <v>86</v>
      </c>
      <c r="Q1132" s="81" t="s">
        <v>13396</v>
      </c>
      <c r="R1132" s="11">
        <v>30.969999000000001</v>
      </c>
      <c r="S1132" s="11">
        <v>-87.121089999999995</v>
      </c>
      <c r="T1132" s="11" t="s">
        <v>13397</v>
      </c>
      <c r="U1132" s="11" t="s">
        <v>13398</v>
      </c>
      <c r="V1132" s="17" t="s">
        <v>13399</v>
      </c>
      <c r="W1132" s="17" t="s">
        <v>110</v>
      </c>
      <c r="X1132" s="70">
        <v>273</v>
      </c>
      <c r="Y1132" s="70">
        <v>253</v>
      </c>
      <c r="Z1132" s="13">
        <v>30151</v>
      </c>
      <c r="AA1132" s="13">
        <v>30188</v>
      </c>
      <c r="AB1132" s="13"/>
      <c r="AC1132" s="13">
        <v>30297</v>
      </c>
      <c r="AD1132" s="86">
        <v>15430</v>
      </c>
      <c r="AE1132" s="86">
        <v>15430</v>
      </c>
      <c r="AF1132" s="70" t="s">
        <v>11383</v>
      </c>
      <c r="AG1132" s="17" t="s">
        <v>13400</v>
      </c>
      <c r="AH1132" s="17" t="s">
        <v>94</v>
      </c>
      <c r="AI1132" s="70" t="s">
        <v>94</v>
      </c>
      <c r="AJ1132" s="17" t="s">
        <v>94</v>
      </c>
      <c r="AK1132" s="17" t="s">
        <v>95</v>
      </c>
      <c r="AL1132" s="17" t="s">
        <v>13401</v>
      </c>
      <c r="AM1132" s="17" t="s">
        <v>95</v>
      </c>
      <c r="AN1132" s="17" t="s">
        <v>94</v>
      </c>
      <c r="AO1132" s="17" t="s">
        <v>98</v>
      </c>
      <c r="AP1132" s="17" t="s">
        <v>98</v>
      </c>
      <c r="AQ1132" s="17" t="s">
        <v>98</v>
      </c>
      <c r="AR1132" s="17" t="s">
        <v>94</v>
      </c>
      <c r="AS1132" s="17" t="s">
        <v>13402</v>
      </c>
      <c r="AT1132" s="17">
        <v>235</v>
      </c>
      <c r="AU1132" s="30" t="s">
        <v>13403</v>
      </c>
      <c r="AV1132" s="14">
        <v>12557</v>
      </c>
      <c r="AW1132" s="74"/>
      <c r="AX1132" s="1"/>
      <c r="AY1132" s="17" t="s">
        <v>101</v>
      </c>
    </row>
    <row r="1133" spans="1:51" ht="12.75" customHeight="1" x14ac:dyDescent="0.25">
      <c r="A1133" s="5">
        <v>1080</v>
      </c>
      <c r="B1133" s="9">
        <v>1080</v>
      </c>
      <c r="C1133" s="9" t="s">
        <v>13404</v>
      </c>
      <c r="D1133" s="57" t="str">
        <f>HYPERLINK("http://prodenv.dep.state.fl.us/DepNexus/public/electronic-documents/OG_1080/facility!search","OG_1080_Docs")</f>
        <v>OG_1080_Docs</v>
      </c>
      <c r="E1133" s="57" t="str">
        <f>HYPERLINK("https://ca.dep.state.fl.us/mapdirect/?focus=oilandgas&amp;zoom=query&amp;querytype=oilandgas&amp;queryvalues=OG_1080","OG_1080_Map")</f>
        <v>OG_1080_Map</v>
      </c>
      <c r="F1133" s="1" t="s">
        <v>1797</v>
      </c>
      <c r="G1133" s="1" t="s">
        <v>6648</v>
      </c>
      <c r="H1133" s="1" t="s">
        <v>6668</v>
      </c>
      <c r="I1133" s="1" t="s">
        <v>13405</v>
      </c>
      <c r="J1133" s="17" t="s">
        <v>1476</v>
      </c>
      <c r="K1133" s="17" t="s">
        <v>412</v>
      </c>
      <c r="L1133" s="17"/>
      <c r="M1133" s="17"/>
      <c r="N1133" s="52" t="s">
        <v>8161</v>
      </c>
      <c r="O1133" s="17" t="s">
        <v>86</v>
      </c>
      <c r="P1133" s="17" t="s">
        <v>86</v>
      </c>
      <c r="Q1133" s="81" t="s">
        <v>6650</v>
      </c>
      <c r="R1133" s="11">
        <v>30.853870000000001</v>
      </c>
      <c r="S1133" s="11">
        <v>-87.103218999999996</v>
      </c>
      <c r="T1133" s="11" t="s">
        <v>13406</v>
      </c>
      <c r="U1133" s="11" t="s">
        <v>13407</v>
      </c>
      <c r="V1133" s="17" t="s">
        <v>13408</v>
      </c>
      <c r="W1133" s="17" t="s">
        <v>110</v>
      </c>
      <c r="X1133" s="70">
        <v>135</v>
      </c>
      <c r="Y1133" s="70">
        <v>112</v>
      </c>
      <c r="Z1133" s="13">
        <v>30151</v>
      </c>
      <c r="AA1133" s="13">
        <v>30197</v>
      </c>
      <c r="AB1133" s="13">
        <v>30257</v>
      </c>
      <c r="AC1133" s="13">
        <v>45443</v>
      </c>
      <c r="AD1133" s="86">
        <v>16163</v>
      </c>
      <c r="AE1133" s="86">
        <v>16163</v>
      </c>
      <c r="AF1133" s="70" t="s">
        <v>11383</v>
      </c>
      <c r="AG1133" s="17" t="s">
        <v>13409</v>
      </c>
      <c r="AH1133" s="17" t="s">
        <v>86</v>
      </c>
      <c r="AI1133" s="70" t="s">
        <v>13410</v>
      </c>
      <c r="AJ1133" s="17" t="s">
        <v>13411</v>
      </c>
      <c r="AK1133" s="17" t="s">
        <v>825</v>
      </c>
      <c r="AL1133" s="17" t="s">
        <v>13412</v>
      </c>
      <c r="AM1133" s="17" t="s">
        <v>825</v>
      </c>
      <c r="AN1133" s="17" t="s">
        <v>86</v>
      </c>
      <c r="AO1133" s="17" t="s">
        <v>13413</v>
      </c>
      <c r="AP1133" s="17" t="s">
        <v>13414</v>
      </c>
      <c r="AQ1133" s="17" t="s">
        <v>10995</v>
      </c>
      <c r="AR1133" s="17" t="s">
        <v>13415</v>
      </c>
      <c r="AS1133" s="17" t="s">
        <v>13416</v>
      </c>
      <c r="AT1133" s="17">
        <v>256</v>
      </c>
      <c r="AU1133" s="30" t="s">
        <v>13417</v>
      </c>
      <c r="AV1133" s="14">
        <v>15374</v>
      </c>
      <c r="AW1133" s="74">
        <v>302537</v>
      </c>
      <c r="AX1133" s="1"/>
      <c r="AY1133" s="17" t="s">
        <v>101</v>
      </c>
    </row>
    <row r="1134" spans="1:51" ht="12.75" customHeight="1" x14ac:dyDescent="0.25">
      <c r="A1134" s="5">
        <v>1081</v>
      </c>
      <c r="B1134" s="9">
        <v>1081</v>
      </c>
      <c r="C1134" s="9" t="s">
        <v>13418</v>
      </c>
      <c r="D1134" s="57" t="str">
        <f>HYPERLINK("http://prodenv.dep.state.fl.us/DepNexus/public/electronic-documents/OG_1081/facility!search","OG_1081_Docs")</f>
        <v>OG_1081_Docs</v>
      </c>
      <c r="E1134" s="57" t="str">
        <f>HYPERLINK("https://ca.dep.state.fl.us/mapdirect/?focus=oilandgas&amp;zoom=query&amp;querytype=oilandgas&amp;queryvalues=OG_1081","OG_1081_Map")</f>
        <v>OG_1081_Map</v>
      </c>
      <c r="F1134" s="1" t="s">
        <v>1752</v>
      </c>
      <c r="G1134" s="1" t="s">
        <v>79</v>
      </c>
      <c r="H1134" s="1" t="s">
        <v>12149</v>
      </c>
      <c r="I1134" s="1" t="s">
        <v>13419</v>
      </c>
      <c r="J1134" s="17" t="s">
        <v>82</v>
      </c>
      <c r="K1134" s="17" t="s">
        <v>83</v>
      </c>
      <c r="L1134" s="17"/>
      <c r="M1134" s="17"/>
      <c r="N1134" s="52" t="s">
        <v>13420</v>
      </c>
      <c r="O1134" s="17" t="s">
        <v>86</v>
      </c>
      <c r="P1134" s="17" t="s">
        <v>86</v>
      </c>
      <c r="Q1134" s="81" t="s">
        <v>13421</v>
      </c>
      <c r="R1134" s="11">
        <v>26.583617</v>
      </c>
      <c r="S1134" s="11">
        <v>-81.464051999999995</v>
      </c>
      <c r="T1134" s="11" t="s">
        <v>13422</v>
      </c>
      <c r="U1134" s="11" t="s">
        <v>13423</v>
      </c>
      <c r="V1134" s="17" t="s">
        <v>13424</v>
      </c>
      <c r="W1134" s="17" t="s">
        <v>110</v>
      </c>
      <c r="X1134" s="70">
        <v>55</v>
      </c>
      <c r="Y1134" s="70">
        <v>34</v>
      </c>
      <c r="Z1134" s="13">
        <v>30165</v>
      </c>
      <c r="AA1134" s="13">
        <v>30200</v>
      </c>
      <c r="AB1134" s="13"/>
      <c r="AC1134" s="13">
        <v>30233</v>
      </c>
      <c r="AD1134" s="86">
        <v>11490</v>
      </c>
      <c r="AE1134" s="86">
        <v>11490</v>
      </c>
      <c r="AF1134" s="70" t="s">
        <v>13425</v>
      </c>
      <c r="AG1134" s="17" t="s">
        <v>13426</v>
      </c>
      <c r="AH1134" s="17" t="s">
        <v>13427</v>
      </c>
      <c r="AI1134" s="70" t="s">
        <v>86</v>
      </c>
      <c r="AJ1134" s="17" t="s">
        <v>86</v>
      </c>
      <c r="AK1134" s="17" t="s">
        <v>95</v>
      </c>
      <c r="AL1134" s="17" t="s">
        <v>13428</v>
      </c>
      <c r="AM1134" s="17" t="s">
        <v>825</v>
      </c>
      <c r="AN1134" s="17" t="s">
        <v>94</v>
      </c>
      <c r="AO1134" s="17" t="s">
        <v>98</v>
      </c>
      <c r="AP1134" s="17" t="s">
        <v>98</v>
      </c>
      <c r="AQ1134" s="17" t="s">
        <v>98</v>
      </c>
      <c r="AR1134" s="17" t="s">
        <v>94</v>
      </c>
      <c r="AS1134" s="17" t="s">
        <v>13429</v>
      </c>
      <c r="AT1134" s="17">
        <v>158</v>
      </c>
      <c r="AU1134" s="30" t="s">
        <v>13430</v>
      </c>
      <c r="AV1134" s="14">
        <v>15250</v>
      </c>
      <c r="AW1134" s="74"/>
      <c r="AX1134" s="1" t="s">
        <v>13431</v>
      </c>
      <c r="AY1134" s="17" t="s">
        <v>101</v>
      </c>
    </row>
    <row r="1135" spans="1:51" ht="15" customHeight="1" x14ac:dyDescent="0.25">
      <c r="A1135" s="5">
        <v>1082</v>
      </c>
      <c r="B1135" s="9">
        <v>1082</v>
      </c>
      <c r="C1135" s="9" t="s">
        <v>13432</v>
      </c>
      <c r="D1135" s="57" t="str">
        <f>HYPERLINK("http://prodenv.dep.state.fl.us/DepNexus/public/electronic-documents/OG_1082/facility!search","OG_1082_Docs")</f>
        <v>OG_1082_Docs</v>
      </c>
      <c r="E1135" s="57" t="str">
        <f>HYPERLINK("https://ca.dep.state.fl.us/mapdirect/?focus=oilandgas&amp;zoom=query&amp;querytype=oilandgas&amp;queryvalues=OG_1082","OG_1082_Map")</f>
        <v>OG_1082_Map</v>
      </c>
      <c r="F1135" s="1" t="s">
        <v>265</v>
      </c>
      <c r="G1135" s="1" t="s">
        <v>10452</v>
      </c>
      <c r="H1135" s="1" t="s">
        <v>8318</v>
      </c>
      <c r="I1135" s="1" t="s">
        <v>13433</v>
      </c>
      <c r="J1135" s="17" t="s">
        <v>268</v>
      </c>
      <c r="K1135" s="17" t="s">
        <v>412</v>
      </c>
      <c r="L1135" s="17"/>
      <c r="M1135" s="17" t="s">
        <v>101</v>
      </c>
      <c r="N1135" s="52" t="s">
        <v>13434</v>
      </c>
      <c r="O1135" s="17" t="s">
        <v>270</v>
      </c>
      <c r="P1135" s="17" t="s">
        <v>3395</v>
      </c>
      <c r="Q1135" s="81" t="s">
        <v>13435</v>
      </c>
      <c r="R1135" s="11">
        <v>25.978055999999999</v>
      </c>
      <c r="S1135" s="11">
        <v>-80.903603000000004</v>
      </c>
      <c r="T1135" s="11" t="s">
        <v>13436</v>
      </c>
      <c r="U1135" s="11" t="s">
        <v>13437</v>
      </c>
      <c r="V1135" s="17" t="s">
        <v>13438</v>
      </c>
      <c r="W1135" s="17" t="s">
        <v>13439</v>
      </c>
      <c r="X1135" s="70">
        <v>34</v>
      </c>
      <c r="Y1135" s="70">
        <v>12</v>
      </c>
      <c r="Z1135" s="13">
        <v>30215</v>
      </c>
      <c r="AA1135" s="13">
        <v>30701</v>
      </c>
      <c r="AB1135" s="13">
        <v>30785</v>
      </c>
      <c r="AC1135" s="13">
        <v>35631</v>
      </c>
      <c r="AD1135" s="86">
        <v>11398</v>
      </c>
      <c r="AE1135" s="70">
        <v>12295</v>
      </c>
      <c r="AF1135" s="70" t="s">
        <v>13440</v>
      </c>
      <c r="AG1135" s="17" t="s">
        <v>13441</v>
      </c>
      <c r="AH1135" s="17" t="s">
        <v>12656</v>
      </c>
      <c r="AI1135" s="70" t="s">
        <v>13442</v>
      </c>
      <c r="AJ1135" s="17" t="s">
        <v>13443</v>
      </c>
      <c r="AK1135" s="17" t="s">
        <v>95</v>
      </c>
      <c r="AL1135" s="17" t="s">
        <v>86</v>
      </c>
      <c r="AM1135" s="17" t="s">
        <v>825</v>
      </c>
      <c r="AN1135" s="17" t="s">
        <v>86</v>
      </c>
      <c r="AO1135" s="17" t="s">
        <v>3980</v>
      </c>
      <c r="AP1135" s="17" t="s">
        <v>6135</v>
      </c>
      <c r="AQ1135" s="17" t="s">
        <v>13444</v>
      </c>
      <c r="AR1135" s="17" t="s">
        <v>13445</v>
      </c>
      <c r="AS1135" s="17" t="s">
        <v>13446</v>
      </c>
      <c r="AT1135" s="17">
        <v>176</v>
      </c>
      <c r="AU1135" s="30" t="s">
        <v>13447</v>
      </c>
      <c r="AV1135" s="14">
        <v>16642</v>
      </c>
      <c r="AW1135" s="74"/>
      <c r="AX1135" s="1"/>
      <c r="AY1135" s="17" t="s">
        <v>101</v>
      </c>
    </row>
    <row r="1136" spans="1:51" ht="12.75" customHeight="1" x14ac:dyDescent="0.25">
      <c r="A1136" s="5">
        <v>1082.0999999999999</v>
      </c>
      <c r="B1136" s="9" t="s">
        <v>13448</v>
      </c>
      <c r="C1136" s="9" t="s">
        <v>13432</v>
      </c>
      <c r="D1136" s="57" t="str">
        <f>HYPERLINK("http://prodenv.dep.state.fl.us/DepNexus/public/electronic-documents/OG_1082/facility!search","OG_1082_Docs")</f>
        <v>OG_1082_Docs</v>
      </c>
      <c r="E1136" s="57" t="str">
        <f>HYPERLINK("https://ca.dep.state.fl.us/mapdirect/?focus=oilandgas&amp;zoom=query&amp;querytype=oilandgas&amp;queryvalues=OG_1082","OG_1082_Map")</f>
        <v>OG_1082_Map</v>
      </c>
      <c r="F1136" s="1" t="s">
        <v>265</v>
      </c>
      <c r="G1136" s="1" t="s">
        <v>10452</v>
      </c>
      <c r="H1136" s="1" t="s">
        <v>1363</v>
      </c>
      <c r="I1136" s="1" t="s">
        <v>13449</v>
      </c>
      <c r="J1136" s="17" t="s">
        <v>3646</v>
      </c>
      <c r="K1136" s="17" t="s">
        <v>412</v>
      </c>
      <c r="L1136" s="17"/>
      <c r="M1136" s="17"/>
      <c r="N1136" s="52" t="s">
        <v>13450</v>
      </c>
      <c r="O1136" s="17" t="s">
        <v>270</v>
      </c>
      <c r="P1136" s="17" t="s">
        <v>3395</v>
      </c>
      <c r="Q1136" s="81" t="s">
        <v>13435</v>
      </c>
      <c r="R1136" s="11">
        <v>25.978117000000001</v>
      </c>
      <c r="S1136" s="11">
        <v>-80.903632999999999</v>
      </c>
      <c r="T1136" s="11" t="s">
        <v>13451</v>
      </c>
      <c r="U1136" s="11" t="s">
        <v>13452</v>
      </c>
      <c r="V1136" s="17" t="s">
        <v>13438</v>
      </c>
      <c r="W1136" s="17" t="s">
        <v>13453</v>
      </c>
      <c r="X1136" s="70">
        <v>21.5</v>
      </c>
      <c r="Y1136" s="70">
        <v>11.5</v>
      </c>
      <c r="Z1136" s="13">
        <v>35629</v>
      </c>
      <c r="AA1136" s="13">
        <v>35668</v>
      </c>
      <c r="AB1136" s="13">
        <v>35719</v>
      </c>
      <c r="AC1136" s="13"/>
      <c r="AD1136" s="86">
        <v>11357</v>
      </c>
      <c r="AE1136" s="70">
        <v>14216</v>
      </c>
      <c r="AF1136" s="70" t="s">
        <v>13440</v>
      </c>
      <c r="AG1136" s="17" t="s">
        <v>13441</v>
      </c>
      <c r="AH1136" s="17" t="s">
        <v>12656</v>
      </c>
      <c r="AI1136" s="70" t="s">
        <v>13454</v>
      </c>
      <c r="AJ1136" s="17" t="s">
        <v>13455</v>
      </c>
      <c r="AK1136" s="17" t="s">
        <v>825</v>
      </c>
      <c r="AL1136" s="17" t="s">
        <v>86</v>
      </c>
      <c r="AM1136" s="17" t="s">
        <v>825</v>
      </c>
      <c r="AN1136" s="17" t="s">
        <v>86</v>
      </c>
      <c r="AO1136" s="17" t="s">
        <v>13456</v>
      </c>
      <c r="AP1136" s="17" t="s">
        <v>13457</v>
      </c>
      <c r="AQ1136" s="17" t="s">
        <v>13458</v>
      </c>
      <c r="AR1136" s="17" t="s">
        <v>13459</v>
      </c>
      <c r="AS1136" s="17"/>
      <c r="AT1136" s="17"/>
      <c r="AU1136" s="30" t="s">
        <v>13460</v>
      </c>
      <c r="AV1136" s="14"/>
      <c r="AW1136" s="74">
        <v>309921</v>
      </c>
      <c r="AX1136" s="1"/>
      <c r="AY1136" s="17" t="s">
        <v>101</v>
      </c>
    </row>
    <row r="1137" spans="1:51" ht="15" customHeight="1" x14ac:dyDescent="0.25">
      <c r="A1137" s="5">
        <v>1083</v>
      </c>
      <c r="B1137" s="9">
        <v>1083</v>
      </c>
      <c r="C1137" s="9" t="s">
        <v>13461</v>
      </c>
      <c r="D1137" s="57" t="str">
        <f>HYPERLINK("http://prodenv.dep.state.fl.us/DepNexus/public/electronic-documents/OG_1083/facility!search","OG_1083_Docs")</f>
        <v>OG_1083_Docs</v>
      </c>
      <c r="E1137" s="57" t="str">
        <f>HYPERLINK("https://ca.dep.state.fl.us/mapdirect/?focus=oilandgas&amp;zoom=query&amp;querytype=oilandgas&amp;queryvalues=OG_1083","OG_1083_Map")</f>
        <v>OG_1083_Map</v>
      </c>
      <c r="F1137" s="1" t="s">
        <v>265</v>
      </c>
      <c r="G1137" s="1" t="s">
        <v>79</v>
      </c>
      <c r="H1137" s="1" t="s">
        <v>5474</v>
      </c>
      <c r="I1137" s="1" t="s">
        <v>13462</v>
      </c>
      <c r="J1137" s="17" t="s">
        <v>207</v>
      </c>
      <c r="K1137" s="17" t="s">
        <v>208</v>
      </c>
      <c r="L1137" s="17"/>
      <c r="M1137" s="17" t="s">
        <v>207</v>
      </c>
      <c r="N1137" s="52" t="s">
        <v>207</v>
      </c>
      <c r="O1137" s="17" t="s">
        <v>270</v>
      </c>
      <c r="P1137" s="17" t="s">
        <v>86</v>
      </c>
      <c r="Q1137" s="81" t="s">
        <v>13463</v>
      </c>
      <c r="R1137" s="11">
        <v>26.365750999999999</v>
      </c>
      <c r="S1137" s="11">
        <v>-81.415459999999996</v>
      </c>
      <c r="T1137" s="11" t="s">
        <v>13464</v>
      </c>
      <c r="U1137" s="11" t="s">
        <v>13465</v>
      </c>
      <c r="V1137" s="17" t="s">
        <v>13466</v>
      </c>
      <c r="W1137" s="17" t="s">
        <v>110</v>
      </c>
      <c r="X1137" s="70"/>
      <c r="Y1137" s="70"/>
      <c r="Z1137" s="13">
        <v>30215</v>
      </c>
      <c r="AA1137" s="13"/>
      <c r="AB1137" s="13"/>
      <c r="AC1137" s="13"/>
      <c r="AD1137" s="86"/>
      <c r="AE1137" s="70"/>
      <c r="AF1137" s="70" t="s">
        <v>207</v>
      </c>
      <c r="AG1137" s="17" t="s">
        <v>207</v>
      </c>
      <c r="AH1137" s="17" t="s">
        <v>207</v>
      </c>
      <c r="AI1137" s="70" t="s">
        <v>207</v>
      </c>
      <c r="AJ1137" s="17" t="s">
        <v>207</v>
      </c>
      <c r="AK1137" s="17" t="s">
        <v>207</v>
      </c>
      <c r="AL1137" s="17" t="s">
        <v>207</v>
      </c>
      <c r="AM1137" s="17" t="s">
        <v>207</v>
      </c>
      <c r="AN1137" s="17" t="s">
        <v>207</v>
      </c>
      <c r="AO1137" s="17" t="s">
        <v>207</v>
      </c>
      <c r="AP1137" s="17" t="s">
        <v>207</v>
      </c>
      <c r="AQ1137" s="17" t="s">
        <v>207</v>
      </c>
      <c r="AR1137" s="17" t="s">
        <v>207</v>
      </c>
      <c r="AS1137" s="17" t="s">
        <v>207</v>
      </c>
      <c r="AT1137" s="17" t="s">
        <v>207</v>
      </c>
      <c r="AU1137" s="30" t="s">
        <v>13467</v>
      </c>
      <c r="AV1137" s="14" t="s">
        <v>207</v>
      </c>
      <c r="AW1137" s="74"/>
      <c r="AX1137" s="1"/>
      <c r="AY1137" s="17" t="s">
        <v>101</v>
      </c>
    </row>
    <row r="1138" spans="1:51" ht="15" customHeight="1" x14ac:dyDescent="0.25">
      <c r="A1138" s="5">
        <v>1084</v>
      </c>
      <c r="B1138" s="9">
        <v>1084</v>
      </c>
      <c r="C1138" s="9" t="s">
        <v>13468</v>
      </c>
      <c r="D1138" s="57" t="str">
        <f>HYPERLINK("http://prodenv.dep.state.fl.us/DepNexus/public/electronic-documents/OG_1084/facility!search","OG_1084_Docs")</f>
        <v>OG_1084_Docs</v>
      </c>
      <c r="E1138" s="57" t="str">
        <f>HYPERLINK("https://ca.dep.state.fl.us/mapdirect/?focus=oilandgas&amp;zoom=query&amp;querytype=oilandgas&amp;queryvalues=OG_1084","OG_1084_Map")</f>
        <v>OG_1084_Map</v>
      </c>
      <c r="F1138" s="1" t="s">
        <v>265</v>
      </c>
      <c r="G1138" s="1" t="s">
        <v>79</v>
      </c>
      <c r="H1138" s="1" t="s">
        <v>13469</v>
      </c>
      <c r="I1138" s="1" t="s">
        <v>13470</v>
      </c>
      <c r="J1138" s="17" t="s">
        <v>207</v>
      </c>
      <c r="K1138" s="17" t="s">
        <v>208</v>
      </c>
      <c r="L1138" s="17"/>
      <c r="M1138" s="17" t="s">
        <v>207</v>
      </c>
      <c r="N1138" s="52" t="s">
        <v>207</v>
      </c>
      <c r="O1138" s="17" t="s">
        <v>270</v>
      </c>
      <c r="P1138" s="17" t="s">
        <v>86</v>
      </c>
      <c r="Q1138" s="81" t="s">
        <v>13471</v>
      </c>
      <c r="R1138" s="11">
        <v>26.407983000000002</v>
      </c>
      <c r="S1138" s="11">
        <v>-81.429542999999995</v>
      </c>
      <c r="T1138" s="11" t="s">
        <v>13472</v>
      </c>
      <c r="U1138" s="11" t="s">
        <v>13473</v>
      </c>
      <c r="V1138" s="17" t="s">
        <v>13474</v>
      </c>
      <c r="W1138" s="17" t="s">
        <v>110</v>
      </c>
      <c r="X1138" s="70"/>
      <c r="Y1138" s="70"/>
      <c r="Z1138" s="13">
        <v>30215</v>
      </c>
      <c r="AA1138" s="13"/>
      <c r="AB1138" s="13"/>
      <c r="AC1138" s="13"/>
      <c r="AD1138" s="86"/>
      <c r="AE1138" s="70"/>
      <c r="AF1138" s="70" t="s">
        <v>207</v>
      </c>
      <c r="AG1138" s="17" t="s">
        <v>207</v>
      </c>
      <c r="AH1138" s="17" t="s">
        <v>207</v>
      </c>
      <c r="AI1138" s="70" t="s">
        <v>207</v>
      </c>
      <c r="AJ1138" s="17" t="s">
        <v>207</v>
      </c>
      <c r="AK1138" s="17" t="s">
        <v>207</v>
      </c>
      <c r="AL1138" s="17" t="s">
        <v>207</v>
      </c>
      <c r="AM1138" s="17" t="s">
        <v>207</v>
      </c>
      <c r="AN1138" s="17" t="s">
        <v>207</v>
      </c>
      <c r="AO1138" s="17" t="s">
        <v>207</v>
      </c>
      <c r="AP1138" s="17" t="s">
        <v>207</v>
      </c>
      <c r="AQ1138" s="17" t="s">
        <v>207</v>
      </c>
      <c r="AR1138" s="17" t="s">
        <v>207</v>
      </c>
      <c r="AS1138" s="17" t="s">
        <v>207</v>
      </c>
      <c r="AT1138" s="17" t="s">
        <v>207</v>
      </c>
      <c r="AU1138" s="30" t="s">
        <v>1843</v>
      </c>
      <c r="AV1138" s="14" t="s">
        <v>207</v>
      </c>
      <c r="AW1138" s="74"/>
      <c r="AX1138" s="1"/>
      <c r="AY1138" s="17" t="s">
        <v>101</v>
      </c>
    </row>
    <row r="1139" spans="1:51" ht="12.75" customHeight="1" x14ac:dyDescent="0.25">
      <c r="A1139" s="5">
        <v>1085</v>
      </c>
      <c r="B1139" s="9">
        <v>1085</v>
      </c>
      <c r="C1139" s="9" t="s">
        <v>13475</v>
      </c>
      <c r="D1139" s="57" t="str">
        <f>HYPERLINK("http://prodenv.dep.state.fl.us/DepNexus/public/electronic-documents/OG_1085/facility!search","OG_1085_Docs")</f>
        <v>OG_1085_Docs</v>
      </c>
      <c r="E1139" s="57" t="str">
        <f>HYPERLINK("https://ca.dep.state.fl.us/mapdirect/?focus=oilandgas&amp;zoom=query&amp;querytype=oilandgas&amp;queryvalues=OG_1085","OG_1085_Map")</f>
        <v>OG_1085_Map</v>
      </c>
      <c r="F1139" s="1" t="s">
        <v>1752</v>
      </c>
      <c r="G1139" s="1" t="s">
        <v>79</v>
      </c>
      <c r="H1139" s="1" t="s">
        <v>13469</v>
      </c>
      <c r="I1139" s="1" t="s">
        <v>13476</v>
      </c>
      <c r="J1139" s="17" t="s">
        <v>82</v>
      </c>
      <c r="K1139" s="17" t="s">
        <v>83</v>
      </c>
      <c r="L1139" s="17"/>
      <c r="M1139" s="17" t="s">
        <v>84</v>
      </c>
      <c r="N1139" s="52" t="s">
        <v>13420</v>
      </c>
      <c r="O1139" s="17" t="s">
        <v>270</v>
      </c>
      <c r="P1139" s="17" t="s">
        <v>86</v>
      </c>
      <c r="Q1139" s="81" t="s">
        <v>13477</v>
      </c>
      <c r="R1139" s="11">
        <v>26.482738999999999</v>
      </c>
      <c r="S1139" s="11">
        <v>-81.212282999999999</v>
      </c>
      <c r="T1139" s="11" t="s">
        <v>13478</v>
      </c>
      <c r="U1139" s="11" t="s">
        <v>13479</v>
      </c>
      <c r="V1139" s="17" t="s">
        <v>13480</v>
      </c>
      <c r="W1139" s="17" t="s">
        <v>110</v>
      </c>
      <c r="X1139" s="70">
        <v>48</v>
      </c>
      <c r="Y1139" s="70">
        <v>30</v>
      </c>
      <c r="Z1139" s="13">
        <v>30215</v>
      </c>
      <c r="AA1139" s="13">
        <v>30404</v>
      </c>
      <c r="AB1139" s="13"/>
      <c r="AC1139" s="13">
        <v>30436</v>
      </c>
      <c r="AD1139" s="86">
        <v>11676</v>
      </c>
      <c r="AE1139" s="86">
        <v>11676</v>
      </c>
      <c r="AF1139" s="70" t="s">
        <v>12733</v>
      </c>
      <c r="AG1139" s="17" t="s">
        <v>13481</v>
      </c>
      <c r="AH1139" s="17" t="s">
        <v>13482</v>
      </c>
      <c r="AI1139" s="70" t="s">
        <v>86</v>
      </c>
      <c r="AJ1139" s="17" t="s">
        <v>86</v>
      </c>
      <c r="AK1139" s="17" t="s">
        <v>95</v>
      </c>
      <c r="AL1139" s="17" t="s">
        <v>13483</v>
      </c>
      <c r="AM1139" s="17" t="s">
        <v>825</v>
      </c>
      <c r="AN1139" s="17" t="s">
        <v>86</v>
      </c>
      <c r="AO1139" s="17" t="s">
        <v>98</v>
      </c>
      <c r="AP1139" s="17" t="s">
        <v>98</v>
      </c>
      <c r="AQ1139" s="17" t="s">
        <v>98</v>
      </c>
      <c r="AR1139" s="17" t="s">
        <v>94</v>
      </c>
      <c r="AS1139" s="17" t="s">
        <v>13484</v>
      </c>
      <c r="AT1139" s="17">
        <v>160</v>
      </c>
      <c r="AU1139" s="30" t="s">
        <v>13485</v>
      </c>
      <c r="AV1139" s="14">
        <v>15371</v>
      </c>
      <c r="AW1139" s="74"/>
      <c r="AX1139" s="1"/>
      <c r="AY1139" s="17" t="s">
        <v>101</v>
      </c>
    </row>
    <row r="1140" spans="1:51" ht="12.75" customHeight="1" x14ac:dyDescent="0.25">
      <c r="A1140" s="5">
        <v>1086</v>
      </c>
      <c r="B1140" s="9">
        <v>1086</v>
      </c>
      <c r="C1140" s="9" t="s">
        <v>13486</v>
      </c>
      <c r="D1140" s="57" t="str">
        <f>HYPERLINK("http://prodenv.dep.state.fl.us/DepNexus/public/electronic-documents/OG_1086/facility!search","OG_1086_Docs")</f>
        <v>OG_1086_Docs</v>
      </c>
      <c r="E1140" s="57" t="str">
        <f>HYPERLINK("https://ca.dep.state.fl.us/mapdirect/?focus=oilandgas&amp;zoom=query&amp;querytype=oilandgas&amp;queryvalues=OG_1086","OG_1086_Map")</f>
        <v>OG_1086_Map</v>
      </c>
      <c r="F1140" s="1" t="s">
        <v>265</v>
      </c>
      <c r="G1140" s="1" t="s">
        <v>79</v>
      </c>
      <c r="H1140" s="1" t="s">
        <v>13487</v>
      </c>
      <c r="I1140" s="1" t="s">
        <v>13488</v>
      </c>
      <c r="J1140" s="17" t="s">
        <v>82</v>
      </c>
      <c r="K1140" s="17" t="s">
        <v>83</v>
      </c>
      <c r="L1140" s="17"/>
      <c r="M1140" s="17" t="s">
        <v>101</v>
      </c>
      <c r="N1140" s="52" t="s">
        <v>13489</v>
      </c>
      <c r="O1140" s="17" t="s">
        <v>270</v>
      </c>
      <c r="P1140" s="17" t="s">
        <v>3395</v>
      </c>
      <c r="Q1140" s="81" t="s">
        <v>13490</v>
      </c>
      <c r="R1140" s="11">
        <v>25.874092999999998</v>
      </c>
      <c r="S1140" s="11">
        <v>-80.916197999999994</v>
      </c>
      <c r="T1140" s="11" t="s">
        <v>13491</v>
      </c>
      <c r="U1140" s="11" t="s">
        <v>13492</v>
      </c>
      <c r="V1140" s="17" t="s">
        <v>13493</v>
      </c>
      <c r="W1140" s="17" t="s">
        <v>110</v>
      </c>
      <c r="X1140" s="70">
        <v>21</v>
      </c>
      <c r="Y1140" s="70">
        <v>10</v>
      </c>
      <c r="Z1140" s="13">
        <v>30215</v>
      </c>
      <c r="AA1140" s="13">
        <v>31271</v>
      </c>
      <c r="AB1140" s="13"/>
      <c r="AC1140" s="13">
        <v>31295</v>
      </c>
      <c r="AD1140" s="86">
        <v>11680</v>
      </c>
      <c r="AE1140" s="86">
        <v>11680</v>
      </c>
      <c r="AF1140" s="70" t="s">
        <v>13494</v>
      </c>
      <c r="AG1140" s="17" t="s">
        <v>13495</v>
      </c>
      <c r="AH1140" s="17" t="s">
        <v>13496</v>
      </c>
      <c r="AI1140" s="70" t="s">
        <v>86</v>
      </c>
      <c r="AJ1140" s="17" t="s">
        <v>86</v>
      </c>
      <c r="AK1140" s="17" t="s">
        <v>95</v>
      </c>
      <c r="AL1140" s="17" t="s">
        <v>13497</v>
      </c>
      <c r="AM1140" s="17" t="s">
        <v>95</v>
      </c>
      <c r="AN1140" s="17" t="s">
        <v>86</v>
      </c>
      <c r="AO1140" s="17" t="s">
        <v>98</v>
      </c>
      <c r="AP1140" s="17" t="s">
        <v>98</v>
      </c>
      <c r="AQ1140" s="17" t="s">
        <v>98</v>
      </c>
      <c r="AR1140" s="17" t="s">
        <v>94</v>
      </c>
      <c r="AS1140" s="17" t="s">
        <v>13498</v>
      </c>
      <c r="AT1140" s="17">
        <v>159</v>
      </c>
      <c r="AU1140" s="30" t="s">
        <v>13499</v>
      </c>
      <c r="AV1140" s="14">
        <v>15841</v>
      </c>
      <c r="AW1140" s="74"/>
      <c r="AX1140" s="1"/>
      <c r="AY1140" s="17" t="s">
        <v>101</v>
      </c>
    </row>
    <row r="1141" spans="1:51" ht="12.75" customHeight="1" x14ac:dyDescent="0.25">
      <c r="A1141" s="5">
        <v>1087</v>
      </c>
      <c r="B1141" s="9">
        <v>1087</v>
      </c>
      <c r="C1141" s="9" t="s">
        <v>13500</v>
      </c>
      <c r="D1141" s="57" t="str">
        <f>HYPERLINK("http://prodenv.dep.state.fl.us/DepNexus/public/electronic-documents/OG_1087/facility!search","OG_1087_Docs")</f>
        <v>OG_1087_Docs</v>
      </c>
      <c r="E1141" s="57" t="str">
        <f>HYPERLINK("https://ca.dep.state.fl.us/mapdirect/?focus=oilandgas&amp;zoom=query&amp;querytype=oilandgas&amp;queryvalues=OG_1087","OG_1087_Map")</f>
        <v>OG_1087_Map</v>
      </c>
      <c r="F1141" s="1" t="s">
        <v>265</v>
      </c>
      <c r="G1141" s="1" t="s">
        <v>79</v>
      </c>
      <c r="H1141" s="1" t="s">
        <v>12078</v>
      </c>
      <c r="I1141" s="1" t="s">
        <v>10954</v>
      </c>
      <c r="J1141" s="17" t="s">
        <v>207</v>
      </c>
      <c r="K1141" s="17" t="s">
        <v>13501</v>
      </c>
      <c r="L1141" s="17"/>
      <c r="M1141" s="17" t="s">
        <v>207</v>
      </c>
      <c r="N1141" s="52" t="s">
        <v>207</v>
      </c>
      <c r="O1141" s="17" t="s">
        <v>270</v>
      </c>
      <c r="P1141" s="17" t="s">
        <v>3395</v>
      </c>
      <c r="Q1141" s="81" t="s">
        <v>13502</v>
      </c>
      <c r="R1141" s="11">
        <v>25.941029</v>
      </c>
      <c r="S1141" s="11">
        <v>-80.989832000000007</v>
      </c>
      <c r="T1141" s="11" t="s">
        <v>13503</v>
      </c>
      <c r="U1141" s="11" t="s">
        <v>13504</v>
      </c>
      <c r="V1141" s="17" t="s">
        <v>13505</v>
      </c>
      <c r="W1141" s="17" t="s">
        <v>110</v>
      </c>
      <c r="X1141" s="70"/>
      <c r="Y1141" s="70"/>
      <c r="Z1141" s="13"/>
      <c r="AA1141" s="13"/>
      <c r="AB1141" s="13"/>
      <c r="AC1141" s="13"/>
      <c r="AD1141" s="86"/>
      <c r="AE1141" s="70"/>
      <c r="AF1141" s="70" t="s">
        <v>207</v>
      </c>
      <c r="AG1141" s="14" t="s">
        <v>207</v>
      </c>
      <c r="AH1141" s="14" t="s">
        <v>207</v>
      </c>
      <c r="AI1141" s="70" t="s">
        <v>207</v>
      </c>
      <c r="AJ1141" s="14" t="s">
        <v>207</v>
      </c>
      <c r="AK1141" s="14" t="s">
        <v>207</v>
      </c>
      <c r="AL1141" s="14" t="s">
        <v>207</v>
      </c>
      <c r="AM1141" s="14" t="s">
        <v>207</v>
      </c>
      <c r="AN1141" s="14" t="s">
        <v>207</v>
      </c>
      <c r="AO1141" s="14" t="s">
        <v>207</v>
      </c>
      <c r="AP1141" s="14" t="s">
        <v>207</v>
      </c>
      <c r="AQ1141" s="14" t="s">
        <v>207</v>
      </c>
      <c r="AR1141" s="14" t="s">
        <v>207</v>
      </c>
      <c r="AS1141" s="14" t="s">
        <v>207</v>
      </c>
      <c r="AT1141" s="14" t="s">
        <v>207</v>
      </c>
      <c r="AU1141" s="30" t="s">
        <v>13506</v>
      </c>
      <c r="AV1141" s="14" t="s">
        <v>207</v>
      </c>
      <c r="AW1141" s="74"/>
      <c r="AX1141" s="1" t="s">
        <v>13501</v>
      </c>
      <c r="AY1141" s="17" t="s">
        <v>101</v>
      </c>
    </row>
    <row r="1142" spans="1:51" ht="12.75" customHeight="1" x14ac:dyDescent="0.25">
      <c r="A1142" s="5">
        <v>1088</v>
      </c>
      <c r="B1142" s="9">
        <v>1088</v>
      </c>
      <c r="C1142" s="9" t="s">
        <v>13507</v>
      </c>
      <c r="D1142" s="57" t="str">
        <f>HYPERLINK("http://prodenv.dep.state.fl.us/DepNexus/public/electronic-documents/OG_1088/facility!search","OG_1088_Docs")</f>
        <v>OG_1088_Docs</v>
      </c>
      <c r="E1142" s="57" t="str">
        <f>HYPERLINK("https://ca.dep.state.fl.us/mapdirect/?focus=oilandgas&amp;zoom=query&amp;querytype=oilandgas&amp;queryvalues=OG_1088","OG_1088_Map")</f>
        <v>OG_1088_Map</v>
      </c>
      <c r="F1142" s="1" t="s">
        <v>265</v>
      </c>
      <c r="G1142" s="1" t="s">
        <v>79</v>
      </c>
      <c r="H1142" s="1" t="s">
        <v>12078</v>
      </c>
      <c r="I1142" s="1" t="s">
        <v>13508</v>
      </c>
      <c r="J1142" s="17" t="s">
        <v>82</v>
      </c>
      <c r="K1142" s="17" t="s">
        <v>83</v>
      </c>
      <c r="L1142" s="17"/>
      <c r="M1142" s="17"/>
      <c r="N1142" s="52" t="s">
        <v>13489</v>
      </c>
      <c r="O1142" s="17" t="s">
        <v>270</v>
      </c>
      <c r="P1142" s="17" t="s">
        <v>3395</v>
      </c>
      <c r="Q1142" s="81" t="s">
        <v>13509</v>
      </c>
      <c r="R1142" s="11">
        <v>26.179487000000002</v>
      </c>
      <c r="S1142" s="11">
        <v>-81.186138</v>
      </c>
      <c r="T1142" s="11" t="s">
        <v>13510</v>
      </c>
      <c r="U1142" s="11" t="s">
        <v>13511</v>
      </c>
      <c r="V1142" s="17" t="s">
        <v>13512</v>
      </c>
      <c r="W1142" s="17" t="s">
        <v>110</v>
      </c>
      <c r="X1142" s="70">
        <v>36</v>
      </c>
      <c r="Y1142" s="70">
        <v>16</v>
      </c>
      <c r="Z1142" s="13">
        <v>30215</v>
      </c>
      <c r="AA1142" s="13">
        <v>30400</v>
      </c>
      <c r="AB1142" s="13"/>
      <c r="AC1142" s="13">
        <v>30424</v>
      </c>
      <c r="AD1142" s="86">
        <v>11846</v>
      </c>
      <c r="AE1142" s="86">
        <v>11846</v>
      </c>
      <c r="AF1142" s="70" t="s">
        <v>13051</v>
      </c>
      <c r="AG1142" s="17" t="s">
        <v>13513</v>
      </c>
      <c r="AH1142" s="17" t="s">
        <v>13134</v>
      </c>
      <c r="AI1142" s="70" t="s">
        <v>86</v>
      </c>
      <c r="AJ1142" s="17" t="s">
        <v>86</v>
      </c>
      <c r="AK1142" s="17" t="s">
        <v>95</v>
      </c>
      <c r="AL1142" s="17" t="s">
        <v>13514</v>
      </c>
      <c r="AM1142" s="17" t="s">
        <v>95</v>
      </c>
      <c r="AN1142" s="17" t="s">
        <v>86</v>
      </c>
      <c r="AO1142" s="17" t="s">
        <v>98</v>
      </c>
      <c r="AP1142" s="17" t="s">
        <v>98</v>
      </c>
      <c r="AQ1142" s="17" t="s">
        <v>98</v>
      </c>
      <c r="AR1142" s="17" t="s">
        <v>94</v>
      </c>
      <c r="AS1142" s="17" t="s">
        <v>13515</v>
      </c>
      <c r="AT1142" s="17">
        <v>194</v>
      </c>
      <c r="AU1142" s="30" t="s">
        <v>13516</v>
      </c>
      <c r="AV1142" s="14">
        <v>15372</v>
      </c>
      <c r="AW1142" s="74"/>
      <c r="AX1142" s="1"/>
      <c r="AY1142" s="17" t="s">
        <v>101</v>
      </c>
    </row>
    <row r="1143" spans="1:51" ht="12.75" customHeight="1" x14ac:dyDescent="0.25">
      <c r="A1143" s="5">
        <v>1089</v>
      </c>
      <c r="B1143" s="9">
        <v>1089</v>
      </c>
      <c r="C1143" s="9" t="s">
        <v>13517</v>
      </c>
      <c r="D1143" s="57" t="str">
        <f>HYPERLINK("http://prodenv.dep.state.fl.us/DepNexus/public/electronic-documents/OG_1089/facility!search","OG_1089_Docs")</f>
        <v>OG_1089_Docs</v>
      </c>
      <c r="E1143" s="57" t="str">
        <f>HYPERLINK("https://ca.dep.state.fl.us/mapdirect/?focus=oilandgas&amp;zoom=query&amp;querytype=oilandgas&amp;queryvalues=OG_1089","OG_1089_Map")</f>
        <v>OG_1089_Map</v>
      </c>
      <c r="F1143" s="1" t="s">
        <v>1752</v>
      </c>
      <c r="G1143" s="1" t="s">
        <v>13285</v>
      </c>
      <c r="H1143" s="1" t="s">
        <v>12149</v>
      </c>
      <c r="I1143" s="1" t="s">
        <v>13518</v>
      </c>
      <c r="J1143" s="17" t="s">
        <v>268</v>
      </c>
      <c r="K1143" s="17" t="s">
        <v>2105</v>
      </c>
      <c r="L1143" s="17"/>
      <c r="M1143" s="17"/>
      <c r="N1143" s="52" t="s">
        <v>13519</v>
      </c>
      <c r="O1143" s="17" t="s">
        <v>86</v>
      </c>
      <c r="P1143" s="17" t="s">
        <v>86</v>
      </c>
      <c r="Q1143" s="81" t="s">
        <v>13520</v>
      </c>
      <c r="R1143" s="11">
        <v>26.596398000000001</v>
      </c>
      <c r="S1143" s="11">
        <v>-81.496077999999997</v>
      </c>
      <c r="T1143" s="11" t="s">
        <v>13521</v>
      </c>
      <c r="U1143" s="11" t="s">
        <v>13522</v>
      </c>
      <c r="V1143" s="17" t="s">
        <v>13523</v>
      </c>
      <c r="W1143" s="17" t="s">
        <v>110</v>
      </c>
      <c r="X1143" s="70">
        <v>52</v>
      </c>
      <c r="Y1143" s="70">
        <v>31</v>
      </c>
      <c r="Z1143" s="13">
        <v>30223</v>
      </c>
      <c r="AA1143" s="13">
        <v>30239</v>
      </c>
      <c r="AB1143" s="13">
        <v>30323</v>
      </c>
      <c r="AC1143" s="13">
        <v>33735</v>
      </c>
      <c r="AD1143" s="86">
        <v>11456</v>
      </c>
      <c r="AE1143" s="86">
        <v>11456</v>
      </c>
      <c r="AF1143" s="70" t="s">
        <v>12150</v>
      </c>
      <c r="AG1143" s="17" t="s">
        <v>13524</v>
      </c>
      <c r="AH1143" s="17" t="s">
        <v>13525</v>
      </c>
      <c r="AI1143" s="70" t="s">
        <v>13526</v>
      </c>
      <c r="AJ1143" s="17" t="s">
        <v>13527</v>
      </c>
      <c r="AK1143" s="17" t="s">
        <v>95</v>
      </c>
      <c r="AL1143" s="17" t="s">
        <v>13528</v>
      </c>
      <c r="AM1143" s="17" t="s">
        <v>95</v>
      </c>
      <c r="AN1143" s="17" t="s">
        <v>13529</v>
      </c>
      <c r="AO1143" s="17" t="s">
        <v>12352</v>
      </c>
      <c r="AP1143" s="17" t="s">
        <v>6135</v>
      </c>
      <c r="AQ1143" s="17" t="s">
        <v>13530</v>
      </c>
      <c r="AR1143" s="17" t="s">
        <v>13531</v>
      </c>
      <c r="AS1143" s="17" t="s">
        <v>13532</v>
      </c>
      <c r="AT1143" s="17">
        <v>152</v>
      </c>
      <c r="AU1143" s="30" t="s">
        <v>13533</v>
      </c>
      <c r="AV1143" s="14">
        <v>15259</v>
      </c>
      <c r="AW1143" s="74"/>
      <c r="AX1143" s="1"/>
      <c r="AY1143" s="17" t="s">
        <v>101</v>
      </c>
    </row>
    <row r="1144" spans="1:51" ht="12.75" customHeight="1" x14ac:dyDescent="0.25">
      <c r="A1144" s="5">
        <v>1090</v>
      </c>
      <c r="B1144" s="9">
        <v>1090</v>
      </c>
      <c r="C1144" s="9" t="s">
        <v>13534</v>
      </c>
      <c r="D1144" s="57" t="str">
        <f>HYPERLINK("http://prodenv.dep.state.fl.us/DepNexus/public/electronic-documents/OG_1090/facility!search","OG_1090_Docs")</f>
        <v>OG_1090_Docs</v>
      </c>
      <c r="E1144" s="57" t="str">
        <f>HYPERLINK("https://ca.dep.state.fl.us/mapdirect/?focus=oilandgas&amp;zoom=query&amp;querytype=oilandgas&amp;queryvalues=OG_1090","OG_1090_Map")</f>
        <v>OG_1090_Map</v>
      </c>
      <c r="F1144" s="1" t="s">
        <v>1797</v>
      </c>
      <c r="G1144" s="1" t="s">
        <v>5133</v>
      </c>
      <c r="H1144" s="1" t="s">
        <v>8261</v>
      </c>
      <c r="I1144" s="1" t="s">
        <v>13535</v>
      </c>
      <c r="J1144" s="17" t="s">
        <v>268</v>
      </c>
      <c r="K1144" s="17" t="s">
        <v>412</v>
      </c>
      <c r="L1144" s="17"/>
      <c r="M1144" s="17"/>
      <c r="N1144" s="52" t="s">
        <v>6046</v>
      </c>
      <c r="O1144" s="17" t="s">
        <v>86</v>
      </c>
      <c r="P1144" s="17" t="s">
        <v>86</v>
      </c>
      <c r="Q1144" s="81" t="s">
        <v>6502</v>
      </c>
      <c r="R1144" s="11">
        <v>30.963597</v>
      </c>
      <c r="S1144" s="11">
        <v>-87.142934999999994</v>
      </c>
      <c r="T1144" s="11" t="s">
        <v>13536</v>
      </c>
      <c r="U1144" s="11" t="s">
        <v>13537</v>
      </c>
      <c r="V1144" s="17" t="s">
        <v>13538</v>
      </c>
      <c r="W1144" s="17" t="s">
        <v>110</v>
      </c>
      <c r="X1144" s="70">
        <v>277</v>
      </c>
      <c r="Y1144" s="70">
        <v>254</v>
      </c>
      <c r="Z1144" s="13">
        <v>30246</v>
      </c>
      <c r="AA1144" s="13">
        <v>30260</v>
      </c>
      <c r="AB1144" s="13">
        <v>30742</v>
      </c>
      <c r="AC1144" s="13">
        <v>38026</v>
      </c>
      <c r="AD1144" s="86">
        <v>15900</v>
      </c>
      <c r="AE1144" s="86">
        <v>15900</v>
      </c>
      <c r="AF1144" s="70" t="s">
        <v>11383</v>
      </c>
      <c r="AG1144" s="17" t="s">
        <v>13539</v>
      </c>
      <c r="AH1144" s="17" t="s">
        <v>86</v>
      </c>
      <c r="AI1144" s="70" t="s">
        <v>13540</v>
      </c>
      <c r="AJ1144" s="17" t="s">
        <v>13541</v>
      </c>
      <c r="AK1144" s="17" t="s">
        <v>825</v>
      </c>
      <c r="AL1144" s="17" t="s">
        <v>13542</v>
      </c>
      <c r="AM1144" s="17" t="s">
        <v>95</v>
      </c>
      <c r="AN1144" s="17" t="s">
        <v>86</v>
      </c>
      <c r="AO1144" s="17" t="s">
        <v>13543</v>
      </c>
      <c r="AP1144" s="17" t="s">
        <v>13544</v>
      </c>
      <c r="AQ1144" s="17" t="s">
        <v>13545</v>
      </c>
      <c r="AR1144" s="17" t="s">
        <v>13546</v>
      </c>
      <c r="AS1144" s="17" t="s">
        <v>13547</v>
      </c>
      <c r="AT1144" s="17">
        <v>270</v>
      </c>
      <c r="AU1144" s="30" t="s">
        <v>13548</v>
      </c>
      <c r="AV1144" s="14">
        <v>15359</v>
      </c>
      <c r="AW1144" s="74"/>
      <c r="AX1144" s="1"/>
      <c r="AY1144" s="17" t="s">
        <v>101</v>
      </c>
    </row>
    <row r="1145" spans="1:51" ht="15" customHeight="1" x14ac:dyDescent="0.25">
      <c r="A1145" s="5">
        <v>1091</v>
      </c>
      <c r="B1145" s="9">
        <v>1091</v>
      </c>
      <c r="C1145" s="9" t="s">
        <v>13549</v>
      </c>
      <c r="D1145" s="57" t="str">
        <f>HYPERLINK("http://prodenv.dep.state.fl.us/DepNexus/public/electronic-documents/OG_1091/facility!search","OG_1091_Docs")</f>
        <v>OG_1091_Docs</v>
      </c>
      <c r="E1145" s="57" t="str">
        <f>HYPERLINK("https://ca.dep.state.fl.us/mapdirect/?focus=oilandgas&amp;zoom=query&amp;querytype=oilandgas&amp;queryvalues=OG_1091","OG_1091_Map")</f>
        <v>OG_1091_Map</v>
      </c>
      <c r="F1145" s="1" t="s">
        <v>1797</v>
      </c>
      <c r="G1145" s="1" t="s">
        <v>5133</v>
      </c>
      <c r="H1145" s="1" t="s">
        <v>1363</v>
      </c>
      <c r="I1145" s="1" t="s">
        <v>13550</v>
      </c>
      <c r="J1145" s="17" t="s">
        <v>1365</v>
      </c>
      <c r="K1145" s="17" t="s">
        <v>6189</v>
      </c>
      <c r="L1145" s="17"/>
      <c r="M1145" s="17"/>
      <c r="N1145" s="52" t="s">
        <v>13551</v>
      </c>
      <c r="O1145" s="17" t="s">
        <v>86</v>
      </c>
      <c r="P1145" s="17" t="s">
        <v>86</v>
      </c>
      <c r="Q1145" s="81" t="s">
        <v>7621</v>
      </c>
      <c r="R1145" s="11">
        <v>30.959177</v>
      </c>
      <c r="S1145" s="11">
        <v>-87.191944000000007</v>
      </c>
      <c r="T1145" s="11" t="s">
        <v>13552</v>
      </c>
      <c r="U1145" s="11" t="s">
        <v>13553</v>
      </c>
      <c r="V1145" s="17" t="s">
        <v>13554</v>
      </c>
      <c r="W1145" s="17" t="s">
        <v>110</v>
      </c>
      <c r="X1145" s="70">
        <v>214</v>
      </c>
      <c r="Y1145" s="70">
        <v>206</v>
      </c>
      <c r="Z1145" s="13">
        <v>30263</v>
      </c>
      <c r="AA1145" s="13">
        <v>30300</v>
      </c>
      <c r="AB1145" s="13">
        <v>30397</v>
      </c>
      <c r="AC1145" s="13"/>
      <c r="AD1145" s="86">
        <v>6900</v>
      </c>
      <c r="AE1145" s="86">
        <v>6900</v>
      </c>
      <c r="AF1145" s="70" t="s">
        <v>11383</v>
      </c>
      <c r="AG1145" s="17" t="s">
        <v>13555</v>
      </c>
      <c r="AH1145" s="17" t="s">
        <v>86</v>
      </c>
      <c r="AI1145" s="70" t="s">
        <v>13556</v>
      </c>
      <c r="AJ1145" s="17" t="s">
        <v>13557</v>
      </c>
      <c r="AK1145" s="17" t="s">
        <v>825</v>
      </c>
      <c r="AL1145" s="17" t="s">
        <v>86</v>
      </c>
      <c r="AM1145" s="17" t="s">
        <v>825</v>
      </c>
      <c r="AN1145" s="17" t="s">
        <v>86</v>
      </c>
      <c r="AO1145" s="17" t="s">
        <v>94</v>
      </c>
      <c r="AP1145" s="17" t="s">
        <v>94</v>
      </c>
      <c r="AQ1145" s="17" t="s">
        <v>94</v>
      </c>
      <c r="AR1145" s="17" t="s">
        <v>13558</v>
      </c>
      <c r="AS1145" s="17" t="s">
        <v>86</v>
      </c>
      <c r="AT1145" s="17">
        <v>154</v>
      </c>
      <c r="AU1145" s="30" t="s">
        <v>13559</v>
      </c>
      <c r="AV1145" s="14" t="s">
        <v>86</v>
      </c>
      <c r="AW1145" s="74">
        <v>311642</v>
      </c>
      <c r="AX1145" s="24" t="s">
        <v>13560</v>
      </c>
      <c r="AY1145" s="17" t="s">
        <v>101</v>
      </c>
    </row>
    <row r="1146" spans="1:51" ht="15" customHeight="1" x14ac:dyDescent="0.25">
      <c r="A1146" s="5">
        <v>1092</v>
      </c>
      <c r="B1146" s="9">
        <v>1092</v>
      </c>
      <c r="C1146" s="9" t="s">
        <v>13561</v>
      </c>
      <c r="D1146" s="57" t="str">
        <f>HYPERLINK("http://prodenv.dep.state.fl.us/DepNexus/public/electronic-documents/OG_1092/facility!search","OG_1092_Docs")</f>
        <v>OG_1092_Docs</v>
      </c>
      <c r="E1146" s="57" t="str">
        <f>HYPERLINK("https://ca.dep.state.fl.us/mapdirect/?focus=oilandgas&amp;zoom=query&amp;querytype=oilandgas&amp;queryvalues=OG_1092","OG_1092_Map")</f>
        <v>OG_1092_Map</v>
      </c>
      <c r="F1146" s="1" t="s">
        <v>1797</v>
      </c>
      <c r="G1146" s="1" t="s">
        <v>5133</v>
      </c>
      <c r="H1146" s="1" t="s">
        <v>8261</v>
      </c>
      <c r="I1146" s="1" t="s">
        <v>13562</v>
      </c>
      <c r="J1146" s="17" t="s">
        <v>207</v>
      </c>
      <c r="K1146" s="17" t="s">
        <v>208</v>
      </c>
      <c r="L1146" s="17"/>
      <c r="M1146" s="17" t="s">
        <v>207</v>
      </c>
      <c r="N1146" s="52" t="s">
        <v>207</v>
      </c>
      <c r="O1146" s="17" t="s">
        <v>86</v>
      </c>
      <c r="P1146" s="17" t="s">
        <v>86</v>
      </c>
      <c r="Q1146" s="81" t="s">
        <v>8070</v>
      </c>
      <c r="R1146" s="11">
        <v>30.959848999999998</v>
      </c>
      <c r="S1146" s="11">
        <v>-87.199904000000004</v>
      </c>
      <c r="T1146" s="11" t="s">
        <v>13563</v>
      </c>
      <c r="U1146" s="11" t="s">
        <v>13564</v>
      </c>
      <c r="V1146" s="17" t="s">
        <v>13565</v>
      </c>
      <c r="W1146" s="17" t="s">
        <v>110</v>
      </c>
      <c r="X1146" s="70"/>
      <c r="Y1146" s="70"/>
      <c r="Z1146" s="13">
        <v>30295</v>
      </c>
      <c r="AA1146" s="13"/>
      <c r="AB1146" s="13"/>
      <c r="AC1146" s="13"/>
      <c r="AD1146" s="86"/>
      <c r="AE1146" s="70"/>
      <c r="AF1146" s="70" t="s">
        <v>207</v>
      </c>
      <c r="AG1146" s="14" t="s">
        <v>207</v>
      </c>
      <c r="AH1146" s="14" t="s">
        <v>207</v>
      </c>
      <c r="AI1146" s="70" t="s">
        <v>207</v>
      </c>
      <c r="AJ1146" s="14" t="s">
        <v>207</v>
      </c>
      <c r="AK1146" s="14" t="s">
        <v>207</v>
      </c>
      <c r="AL1146" s="14" t="s">
        <v>207</v>
      </c>
      <c r="AM1146" s="14" t="s">
        <v>207</v>
      </c>
      <c r="AN1146" s="14" t="s">
        <v>207</v>
      </c>
      <c r="AO1146" s="14" t="s">
        <v>207</v>
      </c>
      <c r="AP1146" s="14" t="s">
        <v>207</v>
      </c>
      <c r="AQ1146" s="14" t="s">
        <v>207</v>
      </c>
      <c r="AR1146" s="14" t="s">
        <v>207</v>
      </c>
      <c r="AS1146" s="14" t="s">
        <v>207</v>
      </c>
      <c r="AT1146" s="14" t="s">
        <v>207</v>
      </c>
      <c r="AU1146" s="30" t="s">
        <v>1843</v>
      </c>
      <c r="AV1146" s="14" t="s">
        <v>207</v>
      </c>
      <c r="AW1146" s="74"/>
      <c r="AX1146" s="1"/>
      <c r="AY1146" s="17" t="s">
        <v>101</v>
      </c>
    </row>
    <row r="1147" spans="1:51" ht="12.75" customHeight="1" x14ac:dyDescent="0.25">
      <c r="A1147" s="5">
        <v>1093</v>
      </c>
      <c r="B1147" s="9">
        <v>1093</v>
      </c>
      <c r="C1147" s="9" t="s">
        <v>13566</v>
      </c>
      <c r="D1147" s="57" t="str">
        <f>HYPERLINK("http://prodenv.dep.state.fl.us/DepNexus/public/electronic-documents/OG_1093/facility!search","OG_1093_Docs")</f>
        <v>OG_1093_Docs</v>
      </c>
      <c r="E1147" s="57" t="str">
        <f>HYPERLINK("https://ca.dep.state.fl.us/mapdirect/?focus=oilandgas&amp;zoom=query&amp;querytype=oilandgas&amp;queryvalues=OG_1093","OG_1093_Map")</f>
        <v>OG_1093_Map</v>
      </c>
      <c r="F1147" s="1" t="s">
        <v>1797</v>
      </c>
      <c r="G1147" s="1" t="s">
        <v>5133</v>
      </c>
      <c r="H1147" s="1" t="s">
        <v>1363</v>
      </c>
      <c r="I1147" s="1" t="s">
        <v>13567</v>
      </c>
      <c r="J1147" s="17" t="s">
        <v>1365</v>
      </c>
      <c r="K1147" s="17" t="s">
        <v>6189</v>
      </c>
      <c r="L1147" s="17"/>
      <c r="M1147" s="17"/>
      <c r="N1147" s="52" t="s">
        <v>13568</v>
      </c>
      <c r="O1147" s="17" t="s">
        <v>86</v>
      </c>
      <c r="P1147" s="17" t="s">
        <v>86</v>
      </c>
      <c r="Q1147" s="81" t="s">
        <v>5137</v>
      </c>
      <c r="R1147" s="11">
        <v>30.967949999999998</v>
      </c>
      <c r="S1147" s="11">
        <v>-87.182261999999994</v>
      </c>
      <c r="T1147" s="11" t="s">
        <v>13569</v>
      </c>
      <c r="U1147" s="11" t="s">
        <v>13570</v>
      </c>
      <c r="V1147" s="17" t="s">
        <v>13571</v>
      </c>
      <c r="W1147" s="17" t="s">
        <v>110</v>
      </c>
      <c r="X1147" s="70">
        <v>153</v>
      </c>
      <c r="Y1147" s="70">
        <v>142</v>
      </c>
      <c r="Z1147" s="13">
        <v>30295</v>
      </c>
      <c r="AA1147" s="13">
        <v>30323</v>
      </c>
      <c r="AB1147" s="13">
        <v>30431</v>
      </c>
      <c r="AC1147" s="13"/>
      <c r="AD1147" s="86">
        <v>6800</v>
      </c>
      <c r="AE1147" s="86">
        <v>6800</v>
      </c>
      <c r="AF1147" s="70" t="s">
        <v>11349</v>
      </c>
      <c r="AG1147" s="17" t="s">
        <v>13572</v>
      </c>
      <c r="AH1147" s="17" t="s">
        <v>86</v>
      </c>
      <c r="AI1147" s="70" t="s">
        <v>13573</v>
      </c>
      <c r="AJ1147" s="17" t="s">
        <v>13574</v>
      </c>
      <c r="AK1147" s="17" t="s">
        <v>825</v>
      </c>
      <c r="AL1147" s="17" t="s">
        <v>86</v>
      </c>
      <c r="AM1147" s="17" t="s">
        <v>825</v>
      </c>
      <c r="AN1147" s="17" t="s">
        <v>94</v>
      </c>
      <c r="AO1147" s="17" t="s">
        <v>94</v>
      </c>
      <c r="AP1147" s="17" t="s">
        <v>94</v>
      </c>
      <c r="AQ1147" s="17" t="s">
        <v>94</v>
      </c>
      <c r="AR1147" s="17" t="s">
        <v>13575</v>
      </c>
      <c r="AS1147" s="17" t="s">
        <v>86</v>
      </c>
      <c r="AT1147" s="17">
        <v>156</v>
      </c>
      <c r="AU1147" s="30" t="s">
        <v>13576</v>
      </c>
      <c r="AV1147" s="14" t="s">
        <v>86</v>
      </c>
      <c r="AW1147" s="74">
        <v>311643</v>
      </c>
      <c r="AX1147" s="1" t="s">
        <v>13577</v>
      </c>
      <c r="AY1147" s="17" t="s">
        <v>101</v>
      </c>
    </row>
    <row r="1148" spans="1:51" ht="12.75" customHeight="1" x14ac:dyDescent="0.25">
      <c r="A1148" s="5">
        <v>1094</v>
      </c>
      <c r="B1148" s="9">
        <v>1094</v>
      </c>
      <c r="C1148" s="9" t="s">
        <v>13578</v>
      </c>
      <c r="D1148" s="57" t="str">
        <f>HYPERLINK("http://prodenv.dep.state.fl.us/DepNexus/public/electronic-documents/OG_1094/facility!search","OG_1094_Docs")</f>
        <v>OG_1094_Docs</v>
      </c>
      <c r="E1148" s="57" t="str">
        <f>HYPERLINK("https://ca.dep.state.fl.us/mapdirect/?focus=oilandgas&amp;zoom=query&amp;querytype=oilandgas&amp;queryvalues=OG_1094","OG_1094_Map")</f>
        <v>OG_1094_Map</v>
      </c>
      <c r="F1148" s="1" t="s">
        <v>265</v>
      </c>
      <c r="G1148" s="1" t="s">
        <v>79</v>
      </c>
      <c r="H1148" s="1" t="s">
        <v>8261</v>
      </c>
      <c r="I1148" s="1" t="s">
        <v>13579</v>
      </c>
      <c r="J1148" s="17" t="s">
        <v>82</v>
      </c>
      <c r="K1148" s="17" t="s">
        <v>83</v>
      </c>
      <c r="L1148" s="17"/>
      <c r="M1148" s="17" t="s">
        <v>101</v>
      </c>
      <c r="N1148" s="52" t="s">
        <v>13580</v>
      </c>
      <c r="O1148" s="17" t="s">
        <v>270</v>
      </c>
      <c r="P1148" s="17" t="s">
        <v>86</v>
      </c>
      <c r="Q1148" s="81" t="s">
        <v>13581</v>
      </c>
      <c r="R1148" s="11">
        <v>26.123681000000001</v>
      </c>
      <c r="S1148" s="11">
        <v>-81.101007999999993</v>
      </c>
      <c r="T1148" s="11" t="s">
        <v>13582</v>
      </c>
      <c r="U1148" s="11" t="s">
        <v>13583</v>
      </c>
      <c r="V1148" s="17" t="s">
        <v>13584</v>
      </c>
      <c r="W1148" s="17" t="s">
        <v>110</v>
      </c>
      <c r="X1148" s="70">
        <v>38</v>
      </c>
      <c r="Y1148" s="70">
        <v>13</v>
      </c>
      <c r="Z1148" s="13">
        <v>30271</v>
      </c>
      <c r="AA1148" s="13">
        <v>30493</v>
      </c>
      <c r="AB1148" s="13">
        <v>30518</v>
      </c>
      <c r="AC1148" s="13">
        <v>30620</v>
      </c>
      <c r="AD1148" s="86">
        <v>11507</v>
      </c>
      <c r="AE1148" s="86">
        <v>11507</v>
      </c>
      <c r="AF1148" s="70" t="s">
        <v>13170</v>
      </c>
      <c r="AG1148" s="17" t="s">
        <v>13585</v>
      </c>
      <c r="AH1148" s="17" t="s">
        <v>13586</v>
      </c>
      <c r="AI1148" s="70" t="s">
        <v>13587</v>
      </c>
      <c r="AJ1148" s="17" t="s">
        <v>13588</v>
      </c>
      <c r="AK1148" s="17" t="s">
        <v>825</v>
      </c>
      <c r="AL1148" s="17" t="s">
        <v>86</v>
      </c>
      <c r="AM1148" s="17" t="s">
        <v>825</v>
      </c>
      <c r="AN1148" s="17" t="s">
        <v>86</v>
      </c>
      <c r="AO1148" s="17" t="s">
        <v>3366</v>
      </c>
      <c r="AP1148" s="17" t="s">
        <v>6135</v>
      </c>
      <c r="AQ1148" s="17" t="s">
        <v>13589</v>
      </c>
      <c r="AR1148" s="17" t="s">
        <v>13590</v>
      </c>
      <c r="AS1148" s="17" t="s">
        <v>13591</v>
      </c>
      <c r="AT1148" s="17">
        <v>198</v>
      </c>
      <c r="AU1148" s="30" t="s">
        <v>13592</v>
      </c>
      <c r="AV1148" s="14">
        <v>15730</v>
      </c>
      <c r="AW1148" s="74"/>
      <c r="AX1148" s="1"/>
      <c r="AY1148" s="17" t="s">
        <v>101</v>
      </c>
    </row>
    <row r="1149" spans="1:51" ht="12.75" customHeight="1" x14ac:dyDescent="0.25">
      <c r="A1149" s="5">
        <v>1095</v>
      </c>
      <c r="B1149" s="9">
        <v>1095</v>
      </c>
      <c r="C1149" s="9" t="s">
        <v>13593</v>
      </c>
      <c r="D1149" s="57" t="str">
        <f>HYPERLINK("http://prodenv.dep.state.fl.us/DepNexus/public/electronic-documents/OG_1095/facility!search","OG_1095_Docs")</f>
        <v>OG_1095_Docs</v>
      </c>
      <c r="E1149" s="57" t="str">
        <f>HYPERLINK("https://ca.dep.state.fl.us/mapdirect/?focus=oilandgas&amp;zoom=query&amp;querytype=oilandgas&amp;queryvalues=OG_1095","OG_1095_Map")</f>
        <v>OG_1095_Map</v>
      </c>
      <c r="F1149" s="1" t="s">
        <v>265</v>
      </c>
      <c r="G1149" s="1" t="s">
        <v>79</v>
      </c>
      <c r="H1149" s="1" t="s">
        <v>12078</v>
      </c>
      <c r="I1149" s="1" t="s">
        <v>13594</v>
      </c>
      <c r="J1149" s="17" t="s">
        <v>82</v>
      </c>
      <c r="K1149" s="17" t="s">
        <v>83</v>
      </c>
      <c r="L1149" s="17"/>
      <c r="M1149" s="17"/>
      <c r="N1149" s="52" t="s">
        <v>13595</v>
      </c>
      <c r="O1149" s="17" t="s">
        <v>270</v>
      </c>
      <c r="P1149" s="17" t="s">
        <v>86</v>
      </c>
      <c r="Q1149" s="81" t="s">
        <v>13596</v>
      </c>
      <c r="R1149" s="11">
        <v>26.144786</v>
      </c>
      <c r="S1149" s="11">
        <v>-81.067654000000005</v>
      </c>
      <c r="T1149" s="11" t="s">
        <v>13597</v>
      </c>
      <c r="U1149" s="11" t="s">
        <v>13598</v>
      </c>
      <c r="V1149" s="17" t="s">
        <v>13599</v>
      </c>
      <c r="W1149" s="17" t="s">
        <v>110</v>
      </c>
      <c r="X1149" s="70">
        <v>36</v>
      </c>
      <c r="Y1149" s="70">
        <v>15</v>
      </c>
      <c r="Z1149" s="13">
        <v>30292</v>
      </c>
      <c r="AA1149" s="13">
        <v>30354</v>
      </c>
      <c r="AB1149" s="13"/>
      <c r="AC1149" s="13">
        <v>30382</v>
      </c>
      <c r="AD1149" s="86">
        <v>11790</v>
      </c>
      <c r="AE1149" s="86">
        <v>11790</v>
      </c>
      <c r="AF1149" s="70" t="s">
        <v>13600</v>
      </c>
      <c r="AG1149" s="17" t="s">
        <v>13426</v>
      </c>
      <c r="AH1149" s="17" t="s">
        <v>13601</v>
      </c>
      <c r="AI1149" s="70" t="s">
        <v>86</v>
      </c>
      <c r="AJ1149" s="17" t="s">
        <v>86</v>
      </c>
      <c r="AK1149" s="17" t="s">
        <v>95</v>
      </c>
      <c r="AL1149" s="17" t="s">
        <v>13602</v>
      </c>
      <c r="AM1149" s="17" t="s">
        <v>95</v>
      </c>
      <c r="AN1149" s="17" t="s">
        <v>86</v>
      </c>
      <c r="AO1149" s="17" t="s">
        <v>98</v>
      </c>
      <c r="AP1149" s="17" t="s">
        <v>98</v>
      </c>
      <c r="AQ1149" s="17" t="s">
        <v>98</v>
      </c>
      <c r="AR1149" s="17" t="s">
        <v>94</v>
      </c>
      <c r="AS1149" s="17" t="s">
        <v>13603</v>
      </c>
      <c r="AT1149" s="17">
        <v>200</v>
      </c>
      <c r="AU1149" s="30" t="s">
        <v>13604</v>
      </c>
      <c r="AV1149" s="14">
        <v>15318</v>
      </c>
      <c r="AW1149" s="74"/>
      <c r="AX1149" s="1"/>
      <c r="AY1149" s="17" t="s">
        <v>101</v>
      </c>
    </row>
    <row r="1150" spans="1:51" ht="12.75" customHeight="1" x14ac:dyDescent="0.25">
      <c r="A1150" s="5">
        <v>1096</v>
      </c>
      <c r="B1150" s="9">
        <v>1096</v>
      </c>
      <c r="C1150" s="9" t="s">
        <v>13605</v>
      </c>
      <c r="D1150" s="57" t="str">
        <f>HYPERLINK("http://prodenv.dep.state.fl.us/DepNexus/public/electronic-documents/OG_1096/facility!search","OG_1096_Docs")</f>
        <v>OG_1096_Docs</v>
      </c>
      <c r="E1150" s="57" t="str">
        <f>HYPERLINK("https://ca.dep.state.fl.us/mapdirect/?focus=oilandgas&amp;zoom=query&amp;querytype=oilandgas&amp;queryvalues=OG_1096","OG_1096_Map")</f>
        <v>OG_1096_Map</v>
      </c>
      <c r="F1150" s="1" t="s">
        <v>1797</v>
      </c>
      <c r="G1150" s="1" t="s">
        <v>1798</v>
      </c>
      <c r="H1150" s="1" t="s">
        <v>13606</v>
      </c>
      <c r="I1150" s="1" t="s">
        <v>13607</v>
      </c>
      <c r="J1150" s="17" t="s">
        <v>82</v>
      </c>
      <c r="K1150" s="17" t="s">
        <v>83</v>
      </c>
      <c r="L1150" s="17"/>
      <c r="M1150" s="17"/>
      <c r="N1150" s="52" t="s">
        <v>7568</v>
      </c>
      <c r="O1150" s="17" t="s">
        <v>86</v>
      </c>
      <c r="P1150" s="17" t="s">
        <v>86</v>
      </c>
      <c r="Q1150" s="81" t="s">
        <v>13608</v>
      </c>
      <c r="R1150" s="11">
        <v>30.955134000000001</v>
      </c>
      <c r="S1150" s="11">
        <v>-87.109886000000003</v>
      </c>
      <c r="T1150" s="11" t="s">
        <v>13609</v>
      </c>
      <c r="U1150" s="11" t="s">
        <v>13610</v>
      </c>
      <c r="V1150" s="17" t="s">
        <v>13611</v>
      </c>
      <c r="W1150" s="17" t="s">
        <v>110</v>
      </c>
      <c r="X1150" s="70">
        <v>218</v>
      </c>
      <c r="Y1150" s="70">
        <v>196</v>
      </c>
      <c r="Z1150" s="13">
        <v>30293</v>
      </c>
      <c r="AA1150" s="13">
        <v>30322</v>
      </c>
      <c r="AB1150" s="13"/>
      <c r="AC1150" s="13">
        <v>30886</v>
      </c>
      <c r="AD1150" s="86">
        <v>15281</v>
      </c>
      <c r="AE1150" s="86">
        <v>15281</v>
      </c>
      <c r="AF1150" s="70" t="s">
        <v>11383</v>
      </c>
      <c r="AG1150" s="17" t="s">
        <v>13612</v>
      </c>
      <c r="AH1150" s="17" t="s">
        <v>86</v>
      </c>
      <c r="AI1150" s="70" t="s">
        <v>86</v>
      </c>
      <c r="AJ1150" s="17" t="s">
        <v>86</v>
      </c>
      <c r="AK1150" s="17" t="s">
        <v>95</v>
      </c>
      <c r="AL1150" s="17" t="s">
        <v>13613</v>
      </c>
      <c r="AM1150" s="17" t="s">
        <v>95</v>
      </c>
      <c r="AN1150" s="17" t="s">
        <v>86</v>
      </c>
      <c r="AO1150" s="17" t="s">
        <v>98</v>
      </c>
      <c r="AP1150" s="17" t="s">
        <v>98</v>
      </c>
      <c r="AQ1150" s="17" t="s">
        <v>98</v>
      </c>
      <c r="AR1150" s="17" t="s">
        <v>94</v>
      </c>
      <c r="AS1150" s="17" t="s">
        <v>13614</v>
      </c>
      <c r="AT1150" s="17">
        <v>244</v>
      </c>
      <c r="AU1150" s="30" t="s">
        <v>13615</v>
      </c>
      <c r="AV1150" s="14">
        <v>15319</v>
      </c>
      <c r="AW1150" s="74"/>
      <c r="AX1150" s="1"/>
      <c r="AY1150" s="17" t="s">
        <v>101</v>
      </c>
    </row>
    <row r="1151" spans="1:51" ht="12.75" customHeight="1" x14ac:dyDescent="0.25">
      <c r="A1151" s="5">
        <v>1097</v>
      </c>
      <c r="B1151" s="9">
        <v>1097</v>
      </c>
      <c r="C1151" s="9" t="s">
        <v>13616</v>
      </c>
      <c r="D1151" s="57" t="str">
        <f>HYPERLINK("http://prodenv.dep.state.fl.us/DepNexus/public/electronic-documents/OG_1097/facility!search","OG_1097_Docs")</f>
        <v>OG_1097_Docs</v>
      </c>
      <c r="E1151" s="57" t="str">
        <f>HYPERLINK("https://ca.dep.state.fl.us/mapdirect/?focus=oilandgas&amp;zoom=query&amp;querytype=oilandgas&amp;queryvalues=OG_1097","OG_1097_Map")</f>
        <v>OG_1097_Map</v>
      </c>
      <c r="F1151" s="1" t="s">
        <v>1797</v>
      </c>
      <c r="G1151" s="1" t="s">
        <v>79</v>
      </c>
      <c r="H1151" s="1" t="s">
        <v>8378</v>
      </c>
      <c r="I1151" s="1" t="s">
        <v>13617</v>
      </c>
      <c r="J1151" s="17" t="s">
        <v>82</v>
      </c>
      <c r="K1151" s="17" t="s">
        <v>83</v>
      </c>
      <c r="L1151" s="17"/>
      <c r="M1151" s="17" t="s">
        <v>101</v>
      </c>
      <c r="N1151" s="52" t="s">
        <v>13618</v>
      </c>
      <c r="O1151" s="17" t="s">
        <v>13619</v>
      </c>
      <c r="P1151" s="17" t="s">
        <v>86</v>
      </c>
      <c r="Q1151" s="81" t="s">
        <v>13619</v>
      </c>
      <c r="R1151" s="11">
        <v>30.445803000000002</v>
      </c>
      <c r="S1151" s="11">
        <v>-87.015564999999995</v>
      </c>
      <c r="T1151" s="11" t="s">
        <v>13620</v>
      </c>
      <c r="U1151" s="11" t="s">
        <v>13621</v>
      </c>
      <c r="V1151" s="17" t="s">
        <v>233</v>
      </c>
      <c r="W1151" s="17"/>
      <c r="X1151" s="70">
        <v>30</v>
      </c>
      <c r="Y1151" s="70">
        <v>-10</v>
      </c>
      <c r="Z1151" s="13">
        <v>30271</v>
      </c>
      <c r="AA1151" s="13">
        <v>30470</v>
      </c>
      <c r="AB1151" s="13"/>
      <c r="AC1151" s="13">
        <v>30633</v>
      </c>
      <c r="AD1151" s="86">
        <v>18011</v>
      </c>
      <c r="AE1151" s="86">
        <v>18011</v>
      </c>
      <c r="AF1151" s="70" t="s">
        <v>13622</v>
      </c>
      <c r="AG1151" s="17" t="s">
        <v>13623</v>
      </c>
      <c r="AH1151" s="17" t="s">
        <v>13624</v>
      </c>
      <c r="AI1151" s="70" t="s">
        <v>13625</v>
      </c>
      <c r="AJ1151" s="17" t="s">
        <v>13626</v>
      </c>
      <c r="AK1151" s="17" t="s">
        <v>95</v>
      </c>
      <c r="AL1151" s="17" t="s">
        <v>13627</v>
      </c>
      <c r="AM1151" s="17" t="s">
        <v>95</v>
      </c>
      <c r="AN1151" s="17" t="s">
        <v>86</v>
      </c>
      <c r="AO1151" s="17" t="s">
        <v>7931</v>
      </c>
      <c r="AP1151" s="17" t="s">
        <v>6135</v>
      </c>
      <c r="AQ1151" s="17" t="s">
        <v>13628</v>
      </c>
      <c r="AR1151" s="17" t="s">
        <v>13629</v>
      </c>
      <c r="AS1151" s="17" t="s">
        <v>13630</v>
      </c>
      <c r="AT1151" s="17">
        <v>263</v>
      </c>
      <c r="AU1151" s="30" t="s">
        <v>13631</v>
      </c>
      <c r="AV1151" s="14">
        <v>15434</v>
      </c>
      <c r="AW1151" s="74"/>
      <c r="AX1151" s="1" t="s">
        <v>13632</v>
      </c>
      <c r="AY1151" s="17" t="s">
        <v>101</v>
      </c>
    </row>
    <row r="1152" spans="1:51" ht="12.75" customHeight="1" x14ac:dyDescent="0.25">
      <c r="A1152" s="5">
        <v>1098</v>
      </c>
      <c r="B1152" s="9">
        <v>1098</v>
      </c>
      <c r="C1152" s="9" t="s">
        <v>13633</v>
      </c>
      <c r="D1152" s="57" t="str">
        <f>HYPERLINK("http://prodenv.dep.state.fl.us/DepNexus/public/electronic-documents/OG_1098/facility!search","OG_1098_Docs")</f>
        <v>OG_1098_Docs</v>
      </c>
      <c r="E1152" s="57" t="str">
        <f>HYPERLINK("https://ca.dep.state.fl.us/mapdirect/?focus=oilandgas&amp;zoom=query&amp;querytype=oilandgas&amp;queryvalues=OG_1098","OG_1098_Map")</f>
        <v>OG_1098_Map</v>
      </c>
      <c r="F1152" s="1" t="s">
        <v>1752</v>
      </c>
      <c r="G1152" s="1" t="s">
        <v>13285</v>
      </c>
      <c r="H1152" s="1" t="s">
        <v>12149</v>
      </c>
      <c r="I1152" s="1" t="s">
        <v>13634</v>
      </c>
      <c r="J1152" s="17" t="s">
        <v>207</v>
      </c>
      <c r="K1152" s="17" t="s">
        <v>208</v>
      </c>
      <c r="L1152" s="17"/>
      <c r="M1152" s="17" t="s">
        <v>207</v>
      </c>
      <c r="N1152" s="52" t="s">
        <v>207</v>
      </c>
      <c r="O1152" s="17" t="s">
        <v>86</v>
      </c>
      <c r="P1152" s="17" t="s">
        <v>86</v>
      </c>
      <c r="Q1152" s="81" t="s">
        <v>13635</v>
      </c>
      <c r="R1152" s="11">
        <v>26.597926999999999</v>
      </c>
      <c r="S1152" s="11">
        <v>-81.487944999999996</v>
      </c>
      <c r="T1152" s="11" t="s">
        <v>13636</v>
      </c>
      <c r="U1152" s="11" t="s">
        <v>13637</v>
      </c>
      <c r="V1152" s="17" t="s">
        <v>13638</v>
      </c>
      <c r="W1152" s="17" t="s">
        <v>110</v>
      </c>
      <c r="X1152" s="70"/>
      <c r="Y1152" s="70"/>
      <c r="Z1152" s="13">
        <v>30293</v>
      </c>
      <c r="AA1152" s="13"/>
      <c r="AB1152" s="13"/>
      <c r="AC1152" s="13"/>
      <c r="AD1152" s="86"/>
      <c r="AE1152" s="70"/>
      <c r="AF1152" s="70" t="s">
        <v>207</v>
      </c>
      <c r="AG1152" s="14" t="s">
        <v>207</v>
      </c>
      <c r="AH1152" s="14" t="s">
        <v>207</v>
      </c>
      <c r="AI1152" s="70" t="s">
        <v>207</v>
      </c>
      <c r="AJ1152" s="14" t="s">
        <v>207</v>
      </c>
      <c r="AK1152" s="14" t="s">
        <v>207</v>
      </c>
      <c r="AL1152" s="14" t="s">
        <v>207</v>
      </c>
      <c r="AM1152" s="14" t="s">
        <v>207</v>
      </c>
      <c r="AN1152" s="14" t="s">
        <v>207</v>
      </c>
      <c r="AO1152" s="14" t="s">
        <v>207</v>
      </c>
      <c r="AP1152" s="14" t="s">
        <v>207</v>
      </c>
      <c r="AQ1152" s="14" t="s">
        <v>207</v>
      </c>
      <c r="AR1152" s="14" t="s">
        <v>207</v>
      </c>
      <c r="AS1152" s="14" t="s">
        <v>207</v>
      </c>
      <c r="AT1152" s="14" t="s">
        <v>207</v>
      </c>
      <c r="AU1152" s="30" t="s">
        <v>1843</v>
      </c>
      <c r="AV1152" s="14" t="s">
        <v>207</v>
      </c>
      <c r="AW1152" s="74"/>
      <c r="AX1152" s="1"/>
      <c r="AY1152" s="17" t="s">
        <v>101</v>
      </c>
    </row>
    <row r="1153" spans="1:51" ht="12.75" customHeight="1" x14ac:dyDescent="0.25">
      <c r="A1153" s="5">
        <v>1099</v>
      </c>
      <c r="B1153" s="9">
        <v>1099</v>
      </c>
      <c r="C1153" s="9" t="s">
        <v>13639</v>
      </c>
      <c r="D1153" s="57" t="str">
        <f>HYPERLINK("http://prodenv.dep.state.fl.us/DepNexus/public/electronic-documents/OG_1099/facility!search","OG_1099_Docs")</f>
        <v>OG_1099_Docs</v>
      </c>
      <c r="E1153" s="57" t="str">
        <f>HYPERLINK("https://ca.dep.state.fl.us/mapdirect/?focus=oilandgas&amp;zoom=query&amp;querytype=oilandgas&amp;queryvalues=OG_1099","OG_1099_Map")</f>
        <v>OG_1099_Map</v>
      </c>
      <c r="F1153" s="1" t="s">
        <v>1752</v>
      </c>
      <c r="G1153" s="1" t="s">
        <v>13285</v>
      </c>
      <c r="H1153" s="1" t="s">
        <v>12149</v>
      </c>
      <c r="I1153" s="1" t="s">
        <v>13640</v>
      </c>
      <c r="J1153" s="17" t="s">
        <v>207</v>
      </c>
      <c r="K1153" s="17" t="s">
        <v>208</v>
      </c>
      <c r="L1153" s="17"/>
      <c r="M1153" s="17" t="s">
        <v>207</v>
      </c>
      <c r="N1153" s="52" t="s">
        <v>207</v>
      </c>
      <c r="O1153" s="17" t="s">
        <v>86</v>
      </c>
      <c r="P1153" s="17" t="s">
        <v>86</v>
      </c>
      <c r="Q1153" s="81" t="s">
        <v>13641</v>
      </c>
      <c r="R1153" s="11">
        <v>26.590696999999999</v>
      </c>
      <c r="S1153" s="11">
        <v>-81.487945999999994</v>
      </c>
      <c r="T1153" s="11" t="s">
        <v>13642</v>
      </c>
      <c r="U1153" s="11" t="s">
        <v>13643</v>
      </c>
      <c r="V1153" s="17" t="s">
        <v>13644</v>
      </c>
      <c r="W1153" s="17" t="s">
        <v>110</v>
      </c>
      <c r="X1153" s="70"/>
      <c r="Y1153" s="70"/>
      <c r="Z1153" s="13">
        <v>30293</v>
      </c>
      <c r="AA1153" s="13"/>
      <c r="AB1153" s="13"/>
      <c r="AC1153" s="13"/>
      <c r="AD1153" s="86"/>
      <c r="AE1153" s="70"/>
      <c r="AF1153" s="70" t="s">
        <v>207</v>
      </c>
      <c r="AG1153" s="14" t="s">
        <v>207</v>
      </c>
      <c r="AH1153" s="14" t="s">
        <v>207</v>
      </c>
      <c r="AI1153" s="70" t="s">
        <v>207</v>
      </c>
      <c r="AJ1153" s="14" t="s">
        <v>207</v>
      </c>
      <c r="AK1153" s="14" t="s">
        <v>207</v>
      </c>
      <c r="AL1153" s="14" t="s">
        <v>207</v>
      </c>
      <c r="AM1153" s="14" t="s">
        <v>207</v>
      </c>
      <c r="AN1153" s="14" t="s">
        <v>207</v>
      </c>
      <c r="AO1153" s="14" t="s">
        <v>207</v>
      </c>
      <c r="AP1153" s="14" t="s">
        <v>207</v>
      </c>
      <c r="AQ1153" s="14" t="s">
        <v>207</v>
      </c>
      <c r="AR1153" s="14" t="s">
        <v>207</v>
      </c>
      <c r="AS1153" s="14" t="s">
        <v>207</v>
      </c>
      <c r="AT1153" s="14" t="s">
        <v>207</v>
      </c>
      <c r="AU1153" s="30" t="s">
        <v>1843</v>
      </c>
      <c r="AV1153" s="14" t="s">
        <v>207</v>
      </c>
      <c r="AW1153" s="74"/>
      <c r="AX1153" s="1"/>
      <c r="AY1153" s="17" t="s">
        <v>101</v>
      </c>
    </row>
    <row r="1154" spans="1:51" ht="12.75" customHeight="1" x14ac:dyDescent="0.25">
      <c r="A1154" s="5">
        <v>1100</v>
      </c>
      <c r="B1154" s="9">
        <v>1100</v>
      </c>
      <c r="C1154" s="9" t="s">
        <v>13645</v>
      </c>
      <c r="D1154" s="57" t="str">
        <f>HYPERLINK("http://prodenv.dep.state.fl.us/DepNexus/public/electronic-documents/OG_1100/facility!search","OG_1100_Docs")</f>
        <v>OG_1100_Docs</v>
      </c>
      <c r="E1154" s="57" t="str">
        <f>HYPERLINK("https://ca.dep.state.fl.us/mapdirect/?focus=oilandgas&amp;zoom=query&amp;querytype=oilandgas&amp;queryvalues=OG_1100","OG_1100_Map")</f>
        <v>OG_1100_Map</v>
      </c>
      <c r="F1154" s="1" t="s">
        <v>1752</v>
      </c>
      <c r="G1154" s="1" t="s">
        <v>13285</v>
      </c>
      <c r="H1154" s="1" t="s">
        <v>12149</v>
      </c>
      <c r="I1154" s="1" t="s">
        <v>13646</v>
      </c>
      <c r="J1154" s="17" t="s">
        <v>207</v>
      </c>
      <c r="K1154" s="17" t="s">
        <v>208</v>
      </c>
      <c r="L1154" s="17"/>
      <c r="M1154" s="17" t="s">
        <v>207</v>
      </c>
      <c r="N1154" s="52" t="s">
        <v>207</v>
      </c>
      <c r="O1154" s="17" t="s">
        <v>86</v>
      </c>
      <c r="P1154" s="17" t="s">
        <v>86</v>
      </c>
      <c r="Q1154" s="81" t="s">
        <v>13647</v>
      </c>
      <c r="R1154" s="11">
        <v>26.582529999999998</v>
      </c>
      <c r="S1154" s="11">
        <v>-81.487769</v>
      </c>
      <c r="T1154" s="11" t="s">
        <v>13648</v>
      </c>
      <c r="U1154" s="11" t="s">
        <v>13649</v>
      </c>
      <c r="V1154" s="17" t="s">
        <v>13650</v>
      </c>
      <c r="W1154" s="17" t="s">
        <v>110</v>
      </c>
      <c r="X1154" s="70"/>
      <c r="Y1154" s="70"/>
      <c r="Z1154" s="13">
        <v>30293</v>
      </c>
      <c r="AA1154" s="13"/>
      <c r="AB1154" s="13"/>
      <c r="AC1154" s="13"/>
      <c r="AD1154" s="86"/>
      <c r="AE1154" s="70"/>
      <c r="AF1154" s="70" t="s">
        <v>207</v>
      </c>
      <c r="AG1154" s="14" t="s">
        <v>207</v>
      </c>
      <c r="AH1154" s="14" t="s">
        <v>207</v>
      </c>
      <c r="AI1154" s="70" t="s">
        <v>207</v>
      </c>
      <c r="AJ1154" s="14" t="s">
        <v>207</v>
      </c>
      <c r="AK1154" s="14" t="s">
        <v>207</v>
      </c>
      <c r="AL1154" s="14" t="s">
        <v>207</v>
      </c>
      <c r="AM1154" s="14" t="s">
        <v>207</v>
      </c>
      <c r="AN1154" s="14" t="s">
        <v>207</v>
      </c>
      <c r="AO1154" s="14" t="s">
        <v>207</v>
      </c>
      <c r="AP1154" s="14" t="s">
        <v>207</v>
      </c>
      <c r="AQ1154" s="14" t="s">
        <v>207</v>
      </c>
      <c r="AR1154" s="14" t="s">
        <v>207</v>
      </c>
      <c r="AS1154" s="14" t="s">
        <v>207</v>
      </c>
      <c r="AT1154" s="14" t="s">
        <v>207</v>
      </c>
      <c r="AU1154" s="30" t="s">
        <v>1843</v>
      </c>
      <c r="AV1154" s="14" t="s">
        <v>207</v>
      </c>
      <c r="AW1154" s="74"/>
      <c r="AX1154" s="1"/>
      <c r="AY1154" s="17" t="s">
        <v>101</v>
      </c>
    </row>
    <row r="1155" spans="1:51" ht="12.75" customHeight="1" x14ac:dyDescent="0.25">
      <c r="A1155" s="5">
        <v>1101</v>
      </c>
      <c r="B1155" s="9">
        <v>1101</v>
      </c>
      <c r="C1155" s="9" t="s">
        <v>13651</v>
      </c>
      <c r="D1155" s="57" t="str">
        <f>HYPERLINK("http://prodenv.dep.state.fl.us/DepNexus/public/electronic-documents/OG_1101/facility!search","OG_1101_Docs")</f>
        <v>OG_1101_Docs</v>
      </c>
      <c r="E1155" s="57" t="str">
        <f>HYPERLINK("https://ca.dep.state.fl.us/mapdirect/?focus=oilandgas&amp;zoom=query&amp;querytype=oilandgas&amp;queryvalues=OG_1101","OG_1101_Map")</f>
        <v>OG_1101_Map</v>
      </c>
      <c r="F1155" s="1" t="s">
        <v>1752</v>
      </c>
      <c r="G1155" s="1" t="s">
        <v>13285</v>
      </c>
      <c r="H1155" s="1" t="s">
        <v>12149</v>
      </c>
      <c r="I1155" s="1" t="s">
        <v>13652</v>
      </c>
      <c r="J1155" s="17" t="s">
        <v>207</v>
      </c>
      <c r="K1155" s="17" t="s">
        <v>208</v>
      </c>
      <c r="L1155" s="17"/>
      <c r="M1155" s="17" t="s">
        <v>207</v>
      </c>
      <c r="N1155" s="52" t="s">
        <v>207</v>
      </c>
      <c r="O1155" s="17" t="s">
        <v>86</v>
      </c>
      <c r="P1155" s="17" t="s">
        <v>86</v>
      </c>
      <c r="Q1155" s="81" t="s">
        <v>13653</v>
      </c>
      <c r="R1155" s="11">
        <v>26.596481000000001</v>
      </c>
      <c r="S1155" s="11">
        <v>-81.504249999999999</v>
      </c>
      <c r="T1155" s="11" t="s">
        <v>13654</v>
      </c>
      <c r="U1155" s="11" t="s">
        <v>13655</v>
      </c>
      <c r="V1155" s="17" t="s">
        <v>13656</v>
      </c>
      <c r="W1155" s="17" t="s">
        <v>110</v>
      </c>
      <c r="X1155" s="70"/>
      <c r="Y1155" s="70"/>
      <c r="Z1155" s="13">
        <v>30293</v>
      </c>
      <c r="AA1155" s="13"/>
      <c r="AB1155" s="13"/>
      <c r="AC1155" s="13"/>
      <c r="AD1155" s="86"/>
      <c r="AE1155" s="70"/>
      <c r="AF1155" s="70" t="s">
        <v>207</v>
      </c>
      <c r="AG1155" s="14" t="s">
        <v>207</v>
      </c>
      <c r="AH1155" s="14" t="s">
        <v>207</v>
      </c>
      <c r="AI1155" s="70" t="s">
        <v>207</v>
      </c>
      <c r="AJ1155" s="14" t="s">
        <v>207</v>
      </c>
      <c r="AK1155" s="14" t="s">
        <v>207</v>
      </c>
      <c r="AL1155" s="14" t="s">
        <v>207</v>
      </c>
      <c r="AM1155" s="14" t="s">
        <v>207</v>
      </c>
      <c r="AN1155" s="14" t="s">
        <v>207</v>
      </c>
      <c r="AO1155" s="14" t="s">
        <v>207</v>
      </c>
      <c r="AP1155" s="14" t="s">
        <v>207</v>
      </c>
      <c r="AQ1155" s="14" t="s">
        <v>207</v>
      </c>
      <c r="AR1155" s="14" t="s">
        <v>207</v>
      </c>
      <c r="AS1155" s="14" t="s">
        <v>207</v>
      </c>
      <c r="AT1155" s="14" t="s">
        <v>207</v>
      </c>
      <c r="AU1155" s="30" t="s">
        <v>1843</v>
      </c>
      <c r="AV1155" s="14" t="s">
        <v>207</v>
      </c>
      <c r="AW1155" s="74"/>
      <c r="AX1155" s="1"/>
      <c r="AY1155" s="17" t="s">
        <v>101</v>
      </c>
    </row>
    <row r="1156" spans="1:51" ht="12.75" customHeight="1" x14ac:dyDescent="0.25">
      <c r="A1156" s="5">
        <v>1102</v>
      </c>
      <c r="B1156" s="9">
        <v>1102</v>
      </c>
      <c r="C1156" s="9" t="s">
        <v>13657</v>
      </c>
      <c r="D1156" s="57" t="str">
        <f>HYPERLINK("http://prodenv.dep.state.fl.us/DepNexus/public/electronic-documents/OG_1102/facility!search","OG_1102_Docs")</f>
        <v>OG_1102_Docs</v>
      </c>
      <c r="E1156" s="57" t="str">
        <f>HYPERLINK("https://ca.dep.state.fl.us/mapdirect/?focus=oilandgas&amp;zoom=query&amp;querytype=oilandgas&amp;queryvalues=OG_1102","OG_1102_Map")</f>
        <v>OG_1102_Map</v>
      </c>
      <c r="F1156" s="1" t="s">
        <v>314</v>
      </c>
      <c r="G1156" s="1" t="s">
        <v>79</v>
      </c>
      <c r="H1156" s="1" t="s">
        <v>13658</v>
      </c>
      <c r="I1156" s="1" t="s">
        <v>13659</v>
      </c>
      <c r="J1156" s="17" t="s">
        <v>82</v>
      </c>
      <c r="K1156" s="17" t="s">
        <v>83</v>
      </c>
      <c r="L1156" s="17"/>
      <c r="M1156" s="17" t="s">
        <v>101</v>
      </c>
      <c r="N1156" s="52" t="s">
        <v>13660</v>
      </c>
      <c r="O1156" s="17" t="s">
        <v>86</v>
      </c>
      <c r="P1156" s="17" t="s">
        <v>86</v>
      </c>
      <c r="Q1156" s="81" t="s">
        <v>13661</v>
      </c>
      <c r="R1156" s="11">
        <v>30.500069</v>
      </c>
      <c r="S1156" s="11">
        <v>-86.143240000000006</v>
      </c>
      <c r="T1156" s="11" t="s">
        <v>13662</v>
      </c>
      <c r="U1156" s="11" t="s">
        <v>13663</v>
      </c>
      <c r="V1156" s="17" t="s">
        <v>13664</v>
      </c>
      <c r="W1156" s="17" t="s">
        <v>110</v>
      </c>
      <c r="X1156" s="70">
        <v>33</v>
      </c>
      <c r="Y1156" s="70">
        <v>25</v>
      </c>
      <c r="Z1156" s="13">
        <v>30307</v>
      </c>
      <c r="AA1156" s="13">
        <v>30333</v>
      </c>
      <c r="AB1156" s="13"/>
      <c r="AC1156" s="13">
        <v>30358</v>
      </c>
      <c r="AD1156" s="86">
        <v>5214</v>
      </c>
      <c r="AE1156" s="86">
        <v>5214</v>
      </c>
      <c r="AF1156" s="70" t="s">
        <v>13665</v>
      </c>
      <c r="AG1156" s="17" t="s">
        <v>13666</v>
      </c>
      <c r="AH1156" s="17" t="s">
        <v>86</v>
      </c>
      <c r="AI1156" s="70" t="s">
        <v>94</v>
      </c>
      <c r="AJ1156" s="17" t="s">
        <v>94</v>
      </c>
      <c r="AK1156" s="17" t="s">
        <v>95</v>
      </c>
      <c r="AL1156" s="17" t="s">
        <v>86</v>
      </c>
      <c r="AM1156" s="17" t="s">
        <v>825</v>
      </c>
      <c r="AN1156" s="17" t="s">
        <v>86</v>
      </c>
      <c r="AO1156" s="17" t="s">
        <v>98</v>
      </c>
      <c r="AP1156" s="17" t="s">
        <v>98</v>
      </c>
      <c r="AQ1156" s="17" t="s">
        <v>98</v>
      </c>
      <c r="AR1156" s="17" t="s">
        <v>94</v>
      </c>
      <c r="AS1156" s="17" t="s">
        <v>13667</v>
      </c>
      <c r="AT1156" s="17">
        <v>147</v>
      </c>
      <c r="AU1156" s="30" t="s">
        <v>13668</v>
      </c>
      <c r="AV1156" s="14">
        <v>15348</v>
      </c>
      <c r="AW1156" s="74"/>
      <c r="AX1156" s="1"/>
      <c r="AY1156" s="17" t="s">
        <v>101</v>
      </c>
    </row>
    <row r="1157" spans="1:51" ht="12.75" customHeight="1" x14ac:dyDescent="0.25">
      <c r="A1157" s="5">
        <v>1103</v>
      </c>
      <c r="B1157" s="9">
        <v>1103</v>
      </c>
      <c r="C1157" s="9" t="s">
        <v>13669</v>
      </c>
      <c r="D1157" s="57" t="str">
        <f>HYPERLINK("http://prodenv.dep.state.fl.us/DepNexus/public/electronic-documents/OG_1103/facility!search","OG_1103_Docs")</f>
        <v>OG_1103_Docs</v>
      </c>
      <c r="E1157" s="57" t="str">
        <f>HYPERLINK("https://ca.dep.state.fl.us/mapdirect/?focus=oilandgas&amp;zoom=query&amp;querytype=oilandgas&amp;queryvalues=OG_1103","OG_1103_Map")</f>
        <v>OG_1103_Map</v>
      </c>
      <c r="F1157" s="1" t="s">
        <v>314</v>
      </c>
      <c r="G1157" s="1" t="s">
        <v>79</v>
      </c>
      <c r="H1157" s="1" t="s">
        <v>13658</v>
      </c>
      <c r="I1157" s="1" t="s">
        <v>13670</v>
      </c>
      <c r="J1157" s="17" t="s">
        <v>207</v>
      </c>
      <c r="K1157" s="17" t="s">
        <v>208</v>
      </c>
      <c r="L1157" s="17"/>
      <c r="M1157" s="17" t="s">
        <v>207</v>
      </c>
      <c r="N1157" s="52" t="s">
        <v>207</v>
      </c>
      <c r="O1157" s="17" t="s">
        <v>86</v>
      </c>
      <c r="P1157" s="17" t="s">
        <v>86</v>
      </c>
      <c r="Q1157" s="81" t="s">
        <v>13671</v>
      </c>
      <c r="R1157" s="11">
        <v>30.48874</v>
      </c>
      <c r="S1157" s="11">
        <v>-86.144068000000004</v>
      </c>
      <c r="T1157" s="11" t="s">
        <v>13672</v>
      </c>
      <c r="U1157" s="11" t="s">
        <v>13673</v>
      </c>
      <c r="V1157" s="17" t="s">
        <v>13674</v>
      </c>
      <c r="W1157" s="17" t="s">
        <v>110</v>
      </c>
      <c r="X1157" s="70"/>
      <c r="Y1157" s="70"/>
      <c r="Z1157" s="13">
        <v>30307</v>
      </c>
      <c r="AA1157" s="13"/>
      <c r="AB1157" s="13"/>
      <c r="AC1157" s="13"/>
      <c r="AD1157" s="86"/>
      <c r="AE1157" s="70"/>
      <c r="AF1157" s="70" t="s">
        <v>207</v>
      </c>
      <c r="AG1157" s="14" t="s">
        <v>207</v>
      </c>
      <c r="AH1157" s="14" t="s">
        <v>207</v>
      </c>
      <c r="AI1157" s="70" t="s">
        <v>207</v>
      </c>
      <c r="AJ1157" s="14" t="s">
        <v>207</v>
      </c>
      <c r="AK1157" s="14" t="s">
        <v>207</v>
      </c>
      <c r="AL1157" s="14" t="s">
        <v>207</v>
      </c>
      <c r="AM1157" s="14" t="s">
        <v>207</v>
      </c>
      <c r="AN1157" s="14" t="s">
        <v>207</v>
      </c>
      <c r="AO1157" s="14" t="s">
        <v>207</v>
      </c>
      <c r="AP1157" s="14" t="s">
        <v>207</v>
      </c>
      <c r="AQ1157" s="14" t="s">
        <v>207</v>
      </c>
      <c r="AR1157" s="14" t="s">
        <v>207</v>
      </c>
      <c r="AS1157" s="14" t="s">
        <v>207</v>
      </c>
      <c r="AT1157" s="14" t="s">
        <v>207</v>
      </c>
      <c r="AU1157" s="30" t="s">
        <v>1843</v>
      </c>
      <c r="AV1157" s="14" t="s">
        <v>207</v>
      </c>
      <c r="AW1157" s="74"/>
      <c r="AX1157" s="1"/>
      <c r="AY1157" s="17" t="s">
        <v>101</v>
      </c>
    </row>
    <row r="1158" spans="1:51" ht="12.75" customHeight="1" x14ac:dyDescent="0.25">
      <c r="A1158" s="5">
        <v>1104</v>
      </c>
      <c r="B1158" s="9">
        <v>1104</v>
      </c>
      <c r="C1158" s="9" t="s">
        <v>13675</v>
      </c>
      <c r="D1158" s="57" t="str">
        <f>HYPERLINK("http://prodenv.dep.state.fl.us/DepNexus/public/electronic-documents/OG_1104/facility!search","OG_1104_Docs")</f>
        <v>OG_1104_Docs</v>
      </c>
      <c r="E1158" s="57" t="str">
        <f>HYPERLINK("https://ca.dep.state.fl.us/mapdirect/?focus=oilandgas&amp;zoom=query&amp;querytype=oilandgas&amp;queryvalues=OG_1104","OG_1104_Map")</f>
        <v>OG_1104_Map</v>
      </c>
      <c r="F1158" s="1" t="s">
        <v>314</v>
      </c>
      <c r="G1158" s="1" t="s">
        <v>79</v>
      </c>
      <c r="H1158" s="1" t="s">
        <v>13658</v>
      </c>
      <c r="I1158" s="1" t="s">
        <v>13676</v>
      </c>
      <c r="J1158" s="17" t="s">
        <v>207</v>
      </c>
      <c r="K1158" s="17" t="s">
        <v>208</v>
      </c>
      <c r="L1158" s="17"/>
      <c r="M1158" s="17" t="s">
        <v>207</v>
      </c>
      <c r="N1158" s="52" t="s">
        <v>207</v>
      </c>
      <c r="O1158" s="17" t="s">
        <v>86</v>
      </c>
      <c r="P1158" s="17" t="s">
        <v>86</v>
      </c>
      <c r="Q1158" s="81" t="s">
        <v>13677</v>
      </c>
      <c r="R1158" s="11">
        <v>30.496825000000001</v>
      </c>
      <c r="S1158" s="11">
        <v>-86.151775000000001</v>
      </c>
      <c r="T1158" s="11" t="s">
        <v>13678</v>
      </c>
      <c r="U1158" s="11" t="s">
        <v>13679</v>
      </c>
      <c r="V1158" s="17" t="s">
        <v>13680</v>
      </c>
      <c r="W1158" s="17" t="s">
        <v>110</v>
      </c>
      <c r="X1158" s="70"/>
      <c r="Y1158" s="70"/>
      <c r="Z1158" s="13">
        <v>30307</v>
      </c>
      <c r="AA1158" s="13"/>
      <c r="AB1158" s="13"/>
      <c r="AC1158" s="13"/>
      <c r="AD1158" s="86"/>
      <c r="AE1158" s="70"/>
      <c r="AF1158" s="70" t="s">
        <v>207</v>
      </c>
      <c r="AG1158" s="14" t="s">
        <v>207</v>
      </c>
      <c r="AH1158" s="14" t="s">
        <v>207</v>
      </c>
      <c r="AI1158" s="70" t="s">
        <v>207</v>
      </c>
      <c r="AJ1158" s="14" t="s">
        <v>207</v>
      </c>
      <c r="AK1158" s="14" t="s">
        <v>207</v>
      </c>
      <c r="AL1158" s="14" t="s">
        <v>207</v>
      </c>
      <c r="AM1158" s="14" t="s">
        <v>207</v>
      </c>
      <c r="AN1158" s="14" t="s">
        <v>207</v>
      </c>
      <c r="AO1158" s="14" t="s">
        <v>207</v>
      </c>
      <c r="AP1158" s="14" t="s">
        <v>207</v>
      </c>
      <c r="AQ1158" s="14" t="s">
        <v>207</v>
      </c>
      <c r="AR1158" s="14" t="s">
        <v>207</v>
      </c>
      <c r="AS1158" s="14" t="s">
        <v>207</v>
      </c>
      <c r="AT1158" s="14" t="s">
        <v>207</v>
      </c>
      <c r="AU1158" s="30" t="s">
        <v>1843</v>
      </c>
      <c r="AV1158" s="14" t="s">
        <v>207</v>
      </c>
      <c r="AW1158" s="74"/>
      <c r="AX1158" s="1"/>
      <c r="AY1158" s="17" t="s">
        <v>101</v>
      </c>
    </row>
    <row r="1159" spans="1:51" ht="12.75" customHeight="1" x14ac:dyDescent="0.25">
      <c r="A1159" s="5">
        <v>1105</v>
      </c>
      <c r="B1159" s="9">
        <v>1105</v>
      </c>
      <c r="C1159" s="9" t="s">
        <v>13681</v>
      </c>
      <c r="D1159" s="57" t="str">
        <f>HYPERLINK("http://prodenv.dep.state.fl.us/DepNexus/public/electronic-documents/OG_1105/facility!search","OG_1105_Docs")</f>
        <v>OG_1105_Docs</v>
      </c>
      <c r="E1159" s="57" t="str">
        <f>HYPERLINK("https://ca.dep.state.fl.us/mapdirect/?focus=oilandgas&amp;zoom=query&amp;querytype=oilandgas&amp;queryvalues=OG_1105","OG_1105_Map")</f>
        <v>OG_1105_Map</v>
      </c>
      <c r="F1159" s="1" t="s">
        <v>829</v>
      </c>
      <c r="G1159" s="1" t="s">
        <v>79</v>
      </c>
      <c r="H1159" s="1" t="s">
        <v>13682</v>
      </c>
      <c r="I1159" s="1" t="s">
        <v>13683</v>
      </c>
      <c r="J1159" s="17" t="s">
        <v>82</v>
      </c>
      <c r="K1159" s="17" t="s">
        <v>83</v>
      </c>
      <c r="L1159" s="17"/>
      <c r="M1159" s="17" t="s">
        <v>101</v>
      </c>
      <c r="N1159" s="52" t="s">
        <v>13684</v>
      </c>
      <c r="O1159" s="17" t="s">
        <v>1962</v>
      </c>
      <c r="P1159" s="17" t="s">
        <v>86</v>
      </c>
      <c r="Q1159" s="81" t="s">
        <v>13685</v>
      </c>
      <c r="R1159" s="11">
        <v>30.720307999999999</v>
      </c>
      <c r="S1159" s="11">
        <v>-86.785893999999999</v>
      </c>
      <c r="T1159" s="11" t="s">
        <v>13686</v>
      </c>
      <c r="U1159" s="11" t="s">
        <v>13687</v>
      </c>
      <c r="V1159" s="17" t="s">
        <v>13688</v>
      </c>
      <c r="W1159" s="17" t="s">
        <v>110</v>
      </c>
      <c r="X1159" s="70">
        <v>107</v>
      </c>
      <c r="Y1159" s="70">
        <v>87</v>
      </c>
      <c r="Z1159" s="13">
        <v>30371</v>
      </c>
      <c r="AA1159" s="13">
        <v>30462</v>
      </c>
      <c r="AB1159" s="13"/>
      <c r="AC1159" s="13">
        <v>30506</v>
      </c>
      <c r="AD1159" s="86">
        <v>15362</v>
      </c>
      <c r="AE1159" s="86">
        <v>15362</v>
      </c>
      <c r="AF1159" s="70" t="s">
        <v>11383</v>
      </c>
      <c r="AG1159" s="17" t="s">
        <v>13689</v>
      </c>
      <c r="AH1159" s="17" t="s">
        <v>86</v>
      </c>
      <c r="AI1159" s="70" t="s">
        <v>94</v>
      </c>
      <c r="AJ1159" s="17" t="s">
        <v>94</v>
      </c>
      <c r="AK1159" s="17" t="s">
        <v>95</v>
      </c>
      <c r="AL1159" s="17" t="s">
        <v>13690</v>
      </c>
      <c r="AM1159" s="17" t="s">
        <v>95</v>
      </c>
      <c r="AN1159" s="17" t="s">
        <v>825</v>
      </c>
      <c r="AO1159" s="17" t="s">
        <v>98</v>
      </c>
      <c r="AP1159" s="17" t="s">
        <v>98</v>
      </c>
      <c r="AQ1159" s="17" t="s">
        <v>98</v>
      </c>
      <c r="AR1159" s="17" t="s">
        <v>94</v>
      </c>
      <c r="AS1159" s="17" t="s">
        <v>13691</v>
      </c>
      <c r="AT1159" s="17">
        <v>265</v>
      </c>
      <c r="AU1159" s="30" t="s">
        <v>13692</v>
      </c>
      <c r="AV1159" s="14">
        <v>15536</v>
      </c>
      <c r="AW1159" s="74"/>
      <c r="AX1159" s="1"/>
      <c r="AY1159" s="17" t="s">
        <v>101</v>
      </c>
    </row>
    <row r="1160" spans="1:51" ht="12.75" customHeight="1" x14ac:dyDescent="0.25">
      <c r="A1160" s="5">
        <v>1106</v>
      </c>
      <c r="B1160" s="9">
        <v>1106</v>
      </c>
      <c r="C1160" s="9" t="s">
        <v>13693</v>
      </c>
      <c r="D1160" s="57" t="str">
        <f>HYPERLINK("http://prodenv.dep.state.fl.us/DepNexus/public/electronic-documents/OG_1106/facility!search","OG_1106_Docs")</f>
        <v>OG_1106_Docs</v>
      </c>
      <c r="E1160" s="57" t="str">
        <f>HYPERLINK("https://ca.dep.state.fl.us/mapdirect/?focus=oilandgas&amp;zoom=query&amp;querytype=oilandgas&amp;queryvalues=OG_1106","OG_1106_Map")</f>
        <v>OG_1106_Map</v>
      </c>
      <c r="F1160" s="1" t="s">
        <v>1797</v>
      </c>
      <c r="G1160" s="1" t="s">
        <v>5133</v>
      </c>
      <c r="H1160" s="1" t="s">
        <v>1363</v>
      </c>
      <c r="I1160" s="1" t="s">
        <v>13694</v>
      </c>
      <c r="J1160" s="17" t="s">
        <v>1476</v>
      </c>
      <c r="K1160" s="17" t="s">
        <v>412</v>
      </c>
      <c r="L1160" s="17"/>
      <c r="M1160" s="17"/>
      <c r="N1160" s="52" t="s">
        <v>13695</v>
      </c>
      <c r="O1160" s="17" t="s">
        <v>86</v>
      </c>
      <c r="P1160" s="17" t="s">
        <v>86</v>
      </c>
      <c r="Q1160" s="81" t="s">
        <v>6896</v>
      </c>
      <c r="R1160" s="11">
        <v>30.949114000000002</v>
      </c>
      <c r="S1160" s="11">
        <v>-87.166939999999997</v>
      </c>
      <c r="T1160" s="11" t="s">
        <v>13696</v>
      </c>
      <c r="U1160" s="11" t="s">
        <v>13697</v>
      </c>
      <c r="V1160" s="17" t="s">
        <v>13698</v>
      </c>
      <c r="W1160" s="17" t="s">
        <v>13699</v>
      </c>
      <c r="X1160" s="70">
        <v>289</v>
      </c>
      <c r="Y1160" s="70">
        <v>266</v>
      </c>
      <c r="Z1160" s="13">
        <v>30326</v>
      </c>
      <c r="AA1160" s="13">
        <v>30383</v>
      </c>
      <c r="AB1160" s="13">
        <v>30514</v>
      </c>
      <c r="AC1160" s="13">
        <v>44602</v>
      </c>
      <c r="AD1160" s="86">
        <v>15835</v>
      </c>
      <c r="AE1160" s="86">
        <v>15963</v>
      </c>
      <c r="AF1160" s="70" t="s">
        <v>13700</v>
      </c>
      <c r="AG1160" s="17" t="s">
        <v>13701</v>
      </c>
      <c r="AH1160" s="17" t="s">
        <v>86</v>
      </c>
      <c r="AI1160" s="70" t="s">
        <v>13702</v>
      </c>
      <c r="AJ1160" s="17" t="s">
        <v>13703</v>
      </c>
      <c r="AK1160" s="17" t="s">
        <v>825</v>
      </c>
      <c r="AL1160" s="17" t="s">
        <v>13704</v>
      </c>
      <c r="AM1160" s="17" t="s">
        <v>825</v>
      </c>
      <c r="AN1160" s="17" t="s">
        <v>86</v>
      </c>
      <c r="AO1160" s="17" t="s">
        <v>13705</v>
      </c>
      <c r="AP1160" s="17" t="s">
        <v>13706</v>
      </c>
      <c r="AQ1160" s="17" t="s">
        <v>13707</v>
      </c>
      <c r="AR1160" s="17" t="s">
        <v>13708</v>
      </c>
      <c r="AS1160" s="17" t="s">
        <v>13709</v>
      </c>
      <c r="AT1160" s="17">
        <v>245</v>
      </c>
      <c r="AU1160" s="30" t="s">
        <v>13710</v>
      </c>
      <c r="AV1160" s="14">
        <v>15418</v>
      </c>
      <c r="AW1160" s="74">
        <v>302996</v>
      </c>
      <c r="AX1160" s="1"/>
      <c r="AY1160" s="17" t="s">
        <v>101</v>
      </c>
    </row>
    <row r="1161" spans="1:51" ht="12.75" customHeight="1" x14ac:dyDescent="0.25">
      <c r="A1161" s="5">
        <v>1106.0999999999999</v>
      </c>
      <c r="B1161" s="9" t="s">
        <v>13711</v>
      </c>
      <c r="C1161" s="9" t="s">
        <v>13693</v>
      </c>
      <c r="D1161" s="57" t="str">
        <f>HYPERLINK("http://prodenv.dep.state.fl.us/DepNexus/public/electronic-documents/OG_1106/facility!search","OG_1106_Docs")</f>
        <v>OG_1106_Docs</v>
      </c>
      <c r="E1161" s="57" t="str">
        <f>HYPERLINK("https://ca.dep.state.fl.us/mapdirect/?focus=oilandgas&amp;zoom=query&amp;querytype=oilandgas&amp;queryvalues=OG_1106","OG_1106_Map")</f>
        <v>OG_1106_Map</v>
      </c>
      <c r="F1161" s="1" t="s">
        <v>1797</v>
      </c>
      <c r="G1161" s="1" t="s">
        <v>5133</v>
      </c>
      <c r="H1161" s="1" t="s">
        <v>1363</v>
      </c>
      <c r="I1161" s="1" t="s">
        <v>13712</v>
      </c>
      <c r="J1161" s="17" t="s">
        <v>11274</v>
      </c>
      <c r="K1161" s="17"/>
      <c r="L1161" s="17"/>
      <c r="M1161" s="17"/>
      <c r="N1161" s="52"/>
      <c r="O1161" s="17"/>
      <c r="P1161" s="17"/>
      <c r="Q1161" s="81" t="s">
        <v>6896</v>
      </c>
      <c r="R1161" s="11">
        <v>30.949120000000001</v>
      </c>
      <c r="S1161" s="11">
        <v>-87.166944999999998</v>
      </c>
      <c r="T1161" s="11" t="s">
        <v>13713</v>
      </c>
      <c r="U1161" s="11" t="s">
        <v>13714</v>
      </c>
      <c r="V1161" s="17" t="s">
        <v>13698</v>
      </c>
      <c r="W1161" s="17" t="s">
        <v>13715</v>
      </c>
      <c r="X1161" s="70"/>
      <c r="Y1161" s="70"/>
      <c r="Z1161" s="13">
        <v>43669</v>
      </c>
      <c r="AA1161" s="13"/>
      <c r="AB1161" s="13"/>
      <c r="AC1161" s="13"/>
      <c r="AD1161" s="86"/>
      <c r="AE1161" s="86"/>
      <c r="AF1161" s="70" t="s">
        <v>13700</v>
      </c>
      <c r="AG1161" s="17" t="s">
        <v>13701</v>
      </c>
      <c r="AH1161" s="17"/>
      <c r="AI1161" s="70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V1161" s="14"/>
      <c r="AW1161" s="74">
        <v>302996</v>
      </c>
      <c r="AX1161" s="1"/>
      <c r="AY1161" s="17" t="s">
        <v>101</v>
      </c>
    </row>
    <row r="1162" spans="1:51" ht="13.5" customHeight="1" x14ac:dyDescent="0.25">
      <c r="A1162" s="5">
        <v>1107</v>
      </c>
      <c r="B1162" s="9">
        <v>1107</v>
      </c>
      <c r="C1162" s="9" t="s">
        <v>13716</v>
      </c>
      <c r="D1162" s="57" t="str">
        <f>HYPERLINK("http://prodenv.dep.state.fl.us/DepNexus/public/electronic-documents/OG_1107/facility!search","OG_1107_Docs")</f>
        <v>OG_1107_Docs</v>
      </c>
      <c r="E1162" s="57" t="str">
        <f>HYPERLINK("https://ca.dep.state.fl.us/mapdirect/?focus=oilandgas&amp;zoom=query&amp;querytype=oilandgas&amp;queryvalues=OG_1107","OG_1107_Map")</f>
        <v>OG_1107_Map</v>
      </c>
      <c r="F1162" s="1" t="s">
        <v>1797</v>
      </c>
      <c r="G1162" s="1" t="s">
        <v>6648</v>
      </c>
      <c r="H1162" s="1" t="s">
        <v>6668</v>
      </c>
      <c r="I1162" s="1" t="s">
        <v>13567</v>
      </c>
      <c r="J1162" s="17" t="s">
        <v>1365</v>
      </c>
      <c r="K1162" s="17" t="s">
        <v>6189</v>
      </c>
      <c r="L1162" s="17"/>
      <c r="M1162" s="17"/>
      <c r="N1162" s="52" t="s">
        <v>13717</v>
      </c>
      <c r="O1162" s="17" t="s">
        <v>86</v>
      </c>
      <c r="P1162" s="17" t="s">
        <v>86</v>
      </c>
      <c r="Q1162" s="81" t="s">
        <v>3194</v>
      </c>
      <c r="R1162" s="11">
        <v>30.848161999999999</v>
      </c>
      <c r="S1162" s="11">
        <v>-87.118921999999998</v>
      </c>
      <c r="T1162" s="11" t="s">
        <v>13718</v>
      </c>
      <c r="U1162" s="11" t="s">
        <v>13719</v>
      </c>
      <c r="V1162" s="17" t="s">
        <v>13720</v>
      </c>
      <c r="W1162" s="17" t="s">
        <v>110</v>
      </c>
      <c r="X1162" s="70">
        <v>193</v>
      </c>
      <c r="Y1162" s="70">
        <v>171</v>
      </c>
      <c r="Z1162" s="13">
        <v>30326</v>
      </c>
      <c r="AA1162" s="13">
        <v>30561</v>
      </c>
      <c r="AB1162" s="13">
        <v>30810</v>
      </c>
      <c r="AC1162" s="13"/>
      <c r="AD1162" s="86">
        <v>7000</v>
      </c>
      <c r="AE1162" s="86">
        <v>7000</v>
      </c>
      <c r="AF1162" s="70" t="s">
        <v>11383</v>
      </c>
      <c r="AG1162" s="17" t="s">
        <v>13721</v>
      </c>
      <c r="AH1162" s="17" t="s">
        <v>86</v>
      </c>
      <c r="AI1162" s="70" t="s">
        <v>13722</v>
      </c>
      <c r="AJ1162" s="17" t="s">
        <v>13723</v>
      </c>
      <c r="AK1162" s="17" t="s">
        <v>825</v>
      </c>
      <c r="AL1162" s="17" t="s">
        <v>86</v>
      </c>
      <c r="AM1162" s="17" t="s">
        <v>825</v>
      </c>
      <c r="AN1162" s="17" t="s">
        <v>86</v>
      </c>
      <c r="AO1162" s="17" t="s">
        <v>94</v>
      </c>
      <c r="AP1162" s="17" t="s">
        <v>94</v>
      </c>
      <c r="AQ1162" s="17" t="s">
        <v>94</v>
      </c>
      <c r="AR1162" s="17" t="s">
        <v>13724</v>
      </c>
      <c r="AS1162" s="17" t="s">
        <v>86</v>
      </c>
      <c r="AT1162" s="17">
        <v>154</v>
      </c>
      <c r="AU1162" s="30" t="s">
        <v>13725</v>
      </c>
      <c r="AV1162" s="14" t="s">
        <v>86</v>
      </c>
      <c r="AW1162" s="74">
        <v>302539</v>
      </c>
      <c r="AX1162" s="24" t="s">
        <v>13726</v>
      </c>
      <c r="AY1162" s="17" t="s">
        <v>101</v>
      </c>
    </row>
    <row r="1163" spans="1:51" ht="12.75" customHeight="1" x14ac:dyDescent="0.25">
      <c r="A1163" s="5">
        <v>1108</v>
      </c>
      <c r="B1163" s="9">
        <v>1108</v>
      </c>
      <c r="C1163" s="9" t="s">
        <v>13727</v>
      </c>
      <c r="D1163" s="57" t="str">
        <f>HYPERLINK("http://prodenv.dep.state.fl.us/DepNexus/public/electronic-documents/OG_1108/facility!search","OG_1108_Docs")</f>
        <v>OG_1108_Docs</v>
      </c>
      <c r="E1163" s="57" t="str">
        <f>HYPERLINK("https://ca.dep.state.fl.us/mapdirect/?focus=oilandgas&amp;zoom=query&amp;querytype=oilandgas&amp;queryvalues=OG_1108","OG_1108_Map")</f>
        <v>OG_1108_Map</v>
      </c>
      <c r="F1163" s="1" t="s">
        <v>1752</v>
      </c>
      <c r="G1163" s="1" t="s">
        <v>13285</v>
      </c>
      <c r="H1163" s="1" t="s">
        <v>12149</v>
      </c>
      <c r="I1163" s="1" t="s">
        <v>13728</v>
      </c>
      <c r="J1163" s="17" t="s">
        <v>268</v>
      </c>
      <c r="K1163" s="17" t="s">
        <v>2105</v>
      </c>
      <c r="L1163" s="17"/>
      <c r="M1163" s="17"/>
      <c r="N1163" s="52" t="s">
        <v>13729</v>
      </c>
      <c r="O1163" s="17" t="s">
        <v>86</v>
      </c>
      <c r="P1163" s="17" t="s">
        <v>86</v>
      </c>
      <c r="Q1163" s="81" t="s">
        <v>13730</v>
      </c>
      <c r="R1163" s="11">
        <v>26.589109000000001</v>
      </c>
      <c r="S1163" s="11">
        <v>-81.503308000000004</v>
      </c>
      <c r="T1163" s="11" t="s">
        <v>13731</v>
      </c>
      <c r="U1163" s="11" t="s">
        <v>13732</v>
      </c>
      <c r="V1163" s="17" t="s">
        <v>13733</v>
      </c>
      <c r="W1163" s="17" t="s">
        <v>110</v>
      </c>
      <c r="X1163" s="70">
        <v>54</v>
      </c>
      <c r="Y1163" s="70">
        <v>33</v>
      </c>
      <c r="Z1163" s="13">
        <v>30332</v>
      </c>
      <c r="AA1163" s="13">
        <v>30595</v>
      </c>
      <c r="AB1163" s="13">
        <v>30709</v>
      </c>
      <c r="AC1163" s="13">
        <v>35356</v>
      </c>
      <c r="AD1163" s="86">
        <v>11459</v>
      </c>
      <c r="AE1163" s="86">
        <v>11459</v>
      </c>
      <c r="AF1163" s="70" t="s">
        <v>13494</v>
      </c>
      <c r="AG1163" s="17" t="s">
        <v>13734</v>
      </c>
      <c r="AH1163" s="17" t="s">
        <v>13735</v>
      </c>
      <c r="AI1163" s="70" t="s">
        <v>13736</v>
      </c>
      <c r="AJ1163" s="17" t="s">
        <v>13737</v>
      </c>
      <c r="AK1163" s="17" t="s">
        <v>95</v>
      </c>
      <c r="AL1163" s="17" t="s">
        <v>13738</v>
      </c>
      <c r="AM1163" s="17" t="s">
        <v>95</v>
      </c>
      <c r="AN1163" s="17" t="s">
        <v>13739</v>
      </c>
      <c r="AO1163" s="17" t="s">
        <v>13740</v>
      </c>
      <c r="AP1163" s="17" t="s">
        <v>4176</v>
      </c>
      <c r="AQ1163" s="17" t="s">
        <v>13741</v>
      </c>
      <c r="AR1163" s="17" t="s">
        <v>13742</v>
      </c>
      <c r="AS1163" s="17" t="s">
        <v>13743</v>
      </c>
      <c r="AT1163" s="17">
        <v>178</v>
      </c>
      <c r="AU1163" s="30" t="s">
        <v>13744</v>
      </c>
      <c r="AV1163" s="14">
        <v>15461</v>
      </c>
      <c r="AW1163" s="74"/>
      <c r="AX1163" s="1"/>
      <c r="AY1163" s="17" t="s">
        <v>101</v>
      </c>
    </row>
    <row r="1164" spans="1:51" ht="12.75" customHeight="1" x14ac:dyDescent="0.25">
      <c r="A1164" s="5">
        <v>1109</v>
      </c>
      <c r="B1164" s="9">
        <v>1109</v>
      </c>
      <c r="C1164" s="9" t="s">
        <v>13745</v>
      </c>
      <c r="D1164" s="57" t="str">
        <f>HYPERLINK("http://prodenv.dep.state.fl.us/DepNexus/public/electronic-documents/OG_1109/facility!search","OG_1109_Docs")</f>
        <v>OG_1109_Docs</v>
      </c>
      <c r="E1164" s="57" t="str">
        <f>HYPERLINK("https://ca.dep.state.fl.us/mapdirect/?focus=oilandgas&amp;zoom=query&amp;querytype=oilandgas&amp;queryvalues=OG_1109","OG_1109_Map")</f>
        <v>OG_1109_Map</v>
      </c>
      <c r="F1164" s="1" t="s">
        <v>1752</v>
      </c>
      <c r="G1164" s="1" t="s">
        <v>13285</v>
      </c>
      <c r="H1164" s="1" t="s">
        <v>12149</v>
      </c>
      <c r="I1164" s="1" t="s">
        <v>13746</v>
      </c>
      <c r="J1164" s="17" t="s">
        <v>207</v>
      </c>
      <c r="K1164" s="17" t="s">
        <v>208</v>
      </c>
      <c r="L1164" s="17"/>
      <c r="M1164" s="17" t="s">
        <v>207</v>
      </c>
      <c r="N1164" s="52" t="s">
        <v>207</v>
      </c>
      <c r="O1164" s="17" t="s">
        <v>86</v>
      </c>
      <c r="P1164" s="17" t="s">
        <v>86</v>
      </c>
      <c r="Q1164" s="81" t="s">
        <v>13747</v>
      </c>
      <c r="R1164" s="11">
        <v>26.582098999999999</v>
      </c>
      <c r="S1164" s="11">
        <v>-81.502611000000002</v>
      </c>
      <c r="T1164" s="11" t="s">
        <v>13748</v>
      </c>
      <c r="U1164" s="11" t="s">
        <v>13749</v>
      </c>
      <c r="V1164" s="17" t="s">
        <v>13750</v>
      </c>
      <c r="W1164" s="17" t="s">
        <v>110</v>
      </c>
      <c r="X1164" s="70"/>
      <c r="Y1164" s="70"/>
      <c r="Z1164" s="13">
        <v>30332</v>
      </c>
      <c r="AA1164" s="13"/>
      <c r="AB1164" s="13"/>
      <c r="AC1164" s="13"/>
      <c r="AD1164" s="86"/>
      <c r="AE1164" s="70"/>
      <c r="AF1164" s="70" t="s">
        <v>207</v>
      </c>
      <c r="AG1164" s="14" t="s">
        <v>207</v>
      </c>
      <c r="AH1164" s="14" t="s">
        <v>207</v>
      </c>
      <c r="AI1164" s="70" t="s">
        <v>207</v>
      </c>
      <c r="AJ1164" s="14" t="s">
        <v>207</v>
      </c>
      <c r="AK1164" s="14" t="s">
        <v>207</v>
      </c>
      <c r="AL1164" s="14" t="s">
        <v>207</v>
      </c>
      <c r="AM1164" s="14" t="s">
        <v>207</v>
      </c>
      <c r="AN1164" s="14" t="s">
        <v>207</v>
      </c>
      <c r="AO1164" s="14" t="s">
        <v>207</v>
      </c>
      <c r="AP1164" s="14" t="s">
        <v>207</v>
      </c>
      <c r="AQ1164" s="14" t="s">
        <v>207</v>
      </c>
      <c r="AR1164" s="14" t="s">
        <v>207</v>
      </c>
      <c r="AS1164" s="14" t="s">
        <v>207</v>
      </c>
      <c r="AT1164" s="14" t="s">
        <v>207</v>
      </c>
      <c r="AU1164" s="30" t="s">
        <v>1843</v>
      </c>
      <c r="AV1164" s="14" t="s">
        <v>207</v>
      </c>
      <c r="AW1164" s="74"/>
      <c r="AX1164" s="1"/>
      <c r="AY1164" s="17" t="s">
        <v>101</v>
      </c>
    </row>
    <row r="1165" spans="1:51" ht="15" customHeight="1" x14ac:dyDescent="0.25">
      <c r="A1165" s="5">
        <v>1110</v>
      </c>
      <c r="B1165" s="9">
        <v>1110</v>
      </c>
      <c r="C1165" s="9" t="s">
        <v>13751</v>
      </c>
      <c r="D1165" s="57" t="str">
        <f>HYPERLINK("http://prodenv.dep.state.fl.us/DepNexus/public/electronic-documents/OG_1110/facility!search","OG_1110_Docs")</f>
        <v>OG_1110_Docs</v>
      </c>
      <c r="E1165" s="57" t="str">
        <f>HYPERLINK("https://ca.dep.state.fl.us/mapdirect/?focus=oilandgas&amp;zoom=query&amp;querytype=oilandgas&amp;queryvalues=OG_1110","OG_1110_Map")</f>
        <v>OG_1110_Map</v>
      </c>
      <c r="F1165" s="1" t="s">
        <v>1797</v>
      </c>
      <c r="G1165" s="1" t="s">
        <v>6648</v>
      </c>
      <c r="H1165" s="1" t="s">
        <v>6668</v>
      </c>
      <c r="I1165" s="1" t="s">
        <v>13752</v>
      </c>
      <c r="J1165" s="17" t="s">
        <v>1476</v>
      </c>
      <c r="K1165" s="17" t="s">
        <v>412</v>
      </c>
      <c r="L1165" s="17"/>
      <c r="M1165" s="17"/>
      <c r="N1165" s="52" t="s">
        <v>13753</v>
      </c>
      <c r="O1165" s="17" t="s">
        <v>86</v>
      </c>
      <c r="P1165" s="17" t="s">
        <v>86</v>
      </c>
      <c r="Q1165" s="81" t="s">
        <v>7112</v>
      </c>
      <c r="R1165" s="11">
        <v>30.848116000000001</v>
      </c>
      <c r="S1165" s="11">
        <v>-87.096222999999995</v>
      </c>
      <c r="T1165" s="11" t="s">
        <v>13754</v>
      </c>
      <c r="U1165" s="11" t="s">
        <v>13755</v>
      </c>
      <c r="V1165" s="17" t="s">
        <v>13756</v>
      </c>
      <c r="W1165" s="17" t="s">
        <v>110</v>
      </c>
      <c r="X1165" s="70">
        <v>126</v>
      </c>
      <c r="Y1165" s="70">
        <v>99</v>
      </c>
      <c r="Z1165" s="13">
        <v>30332</v>
      </c>
      <c r="AA1165" s="13">
        <v>30414</v>
      </c>
      <c r="AB1165" s="13">
        <v>30490</v>
      </c>
      <c r="AC1165" s="13"/>
      <c r="AD1165" s="86">
        <v>16167</v>
      </c>
      <c r="AE1165" s="86">
        <v>16167</v>
      </c>
      <c r="AF1165" s="70" t="s">
        <v>11383</v>
      </c>
      <c r="AG1165" s="17" t="s">
        <v>13757</v>
      </c>
      <c r="AH1165" s="17" t="s">
        <v>86</v>
      </c>
      <c r="AI1165" s="70" t="s">
        <v>13758</v>
      </c>
      <c r="AJ1165" s="17" t="s">
        <v>13759</v>
      </c>
      <c r="AK1165" s="17" t="s">
        <v>825</v>
      </c>
      <c r="AL1165" s="17" t="s">
        <v>12576</v>
      </c>
      <c r="AM1165" s="17" t="s">
        <v>825</v>
      </c>
      <c r="AN1165" s="17" t="s">
        <v>86</v>
      </c>
      <c r="AO1165" s="17" t="s">
        <v>5389</v>
      </c>
      <c r="AP1165" s="17" t="s">
        <v>13760</v>
      </c>
      <c r="AQ1165" s="17" t="s">
        <v>13761</v>
      </c>
      <c r="AR1165" s="17" t="s">
        <v>13762</v>
      </c>
      <c r="AS1165" s="17" t="s">
        <v>86</v>
      </c>
      <c r="AT1165" s="17">
        <v>253</v>
      </c>
      <c r="AU1165" s="30" t="s">
        <v>13763</v>
      </c>
      <c r="AV1165" s="14">
        <v>15419</v>
      </c>
      <c r="AW1165" s="74">
        <v>302540</v>
      </c>
      <c r="AX1165" s="1"/>
      <c r="AY1165" s="17" t="s">
        <v>101</v>
      </c>
    </row>
    <row r="1166" spans="1:51" ht="12.75" customHeight="1" x14ac:dyDescent="0.25">
      <c r="A1166" s="5">
        <v>1111</v>
      </c>
      <c r="B1166" s="9">
        <v>1111</v>
      </c>
      <c r="C1166" s="9" t="s">
        <v>13764</v>
      </c>
      <c r="D1166" s="57" t="str">
        <f>HYPERLINK("http://prodenv.dep.state.fl.us/DepNexus/public/electronic-documents/OG_1111/facility!search","OG_1111_Docs")</f>
        <v>OG_1111_Docs</v>
      </c>
      <c r="E1166" s="57" t="str">
        <f>HYPERLINK("https://ca.dep.state.fl.us/mapdirect/?focus=oilandgas&amp;zoom=query&amp;querytype=oilandgas&amp;queryvalues=OG_1111","OG_1111_Map")</f>
        <v>OG_1111_Map</v>
      </c>
      <c r="F1166" s="1" t="s">
        <v>1797</v>
      </c>
      <c r="G1166" s="1" t="s">
        <v>5133</v>
      </c>
      <c r="H1166" s="1" t="s">
        <v>8261</v>
      </c>
      <c r="I1166" s="1" t="s">
        <v>13765</v>
      </c>
      <c r="J1166" s="17" t="s">
        <v>268</v>
      </c>
      <c r="K1166" s="17" t="s">
        <v>412</v>
      </c>
      <c r="L1166" s="17"/>
      <c r="M1166" s="17"/>
      <c r="N1166" s="52" t="s">
        <v>13766</v>
      </c>
      <c r="O1166" s="17" t="s">
        <v>86</v>
      </c>
      <c r="P1166" s="17" t="s">
        <v>86</v>
      </c>
      <c r="Q1166" s="81" t="s">
        <v>6775</v>
      </c>
      <c r="R1166" s="11">
        <v>30.947811999999999</v>
      </c>
      <c r="S1166" s="11">
        <v>-87.148882</v>
      </c>
      <c r="T1166" s="11" t="s">
        <v>13767</v>
      </c>
      <c r="U1166" s="11" t="s">
        <v>13768</v>
      </c>
      <c r="V1166" s="17" t="s">
        <v>13769</v>
      </c>
      <c r="W1166" s="17" t="s">
        <v>13770</v>
      </c>
      <c r="X1166" s="70">
        <v>289</v>
      </c>
      <c r="Y1166" s="70">
        <v>259</v>
      </c>
      <c r="Z1166" s="13">
        <v>30357</v>
      </c>
      <c r="AA1166" s="13">
        <v>30420</v>
      </c>
      <c r="AB1166" s="13">
        <v>30475</v>
      </c>
      <c r="AC1166" s="13">
        <v>30477</v>
      </c>
      <c r="AD1166" s="86">
        <v>15811</v>
      </c>
      <c r="AE1166" s="86">
        <v>15900</v>
      </c>
      <c r="AF1166" s="70" t="s">
        <v>11383</v>
      </c>
      <c r="AG1166" s="17" t="s">
        <v>13771</v>
      </c>
      <c r="AH1166" s="17" t="s">
        <v>86</v>
      </c>
      <c r="AI1166" s="70" t="s">
        <v>13772</v>
      </c>
      <c r="AJ1166" s="17" t="s">
        <v>13773</v>
      </c>
      <c r="AK1166" s="17" t="s">
        <v>825</v>
      </c>
      <c r="AL1166" s="17" t="s">
        <v>13774</v>
      </c>
      <c r="AM1166" s="17" t="s">
        <v>95</v>
      </c>
      <c r="AN1166" s="17" t="s">
        <v>86</v>
      </c>
      <c r="AO1166" s="17" t="s">
        <v>13775</v>
      </c>
      <c r="AP1166" s="17" t="s">
        <v>13776</v>
      </c>
      <c r="AQ1166" s="17" t="s">
        <v>13777</v>
      </c>
      <c r="AR1166" s="17" t="s">
        <v>13778</v>
      </c>
      <c r="AS1166" s="17" t="s">
        <v>13779</v>
      </c>
      <c r="AT1166" s="17">
        <v>256</v>
      </c>
      <c r="AU1166" s="30" t="s">
        <v>13780</v>
      </c>
      <c r="AV1166" s="14">
        <v>15420</v>
      </c>
      <c r="AW1166" s="74"/>
      <c r="AX1166" s="1"/>
      <c r="AY1166" s="17" t="s">
        <v>101</v>
      </c>
    </row>
    <row r="1167" spans="1:51" ht="15" customHeight="1" x14ac:dyDescent="0.25">
      <c r="A1167" s="5">
        <v>1111.0999999999999</v>
      </c>
      <c r="B1167" s="9" t="s">
        <v>13781</v>
      </c>
      <c r="C1167" s="9" t="s">
        <v>13764</v>
      </c>
      <c r="D1167" s="57" t="str">
        <f>HYPERLINK("http://prodenv.dep.state.fl.us/DepNexus/public/electronic-documents/OG_1111/facility!search","OG_1111_Docs")</f>
        <v>OG_1111_Docs</v>
      </c>
      <c r="E1167" s="57" t="str">
        <f>HYPERLINK("https://ca.dep.state.fl.us/mapdirect/?focus=oilandgas&amp;zoom=query&amp;querytype=oilandgas&amp;queryvalues=OG_1111","OG_1111_Map")</f>
        <v>OG_1111_Map</v>
      </c>
      <c r="F1167" s="1" t="s">
        <v>1797</v>
      </c>
      <c r="G1167" s="1" t="s">
        <v>5133</v>
      </c>
      <c r="H1167" s="1" t="s">
        <v>8261</v>
      </c>
      <c r="I1167" s="1" t="s">
        <v>13765</v>
      </c>
      <c r="J1167" s="17" t="s">
        <v>268</v>
      </c>
      <c r="K1167" s="17" t="s">
        <v>412</v>
      </c>
      <c r="L1167" s="17"/>
      <c r="M1167" s="17"/>
      <c r="N1167" s="52" t="s">
        <v>13782</v>
      </c>
      <c r="O1167" s="17" t="s">
        <v>86</v>
      </c>
      <c r="P1167" s="17" t="s">
        <v>86</v>
      </c>
      <c r="Q1167" s="81" t="s">
        <v>6775</v>
      </c>
      <c r="R1167" s="11">
        <v>30.947811999999999</v>
      </c>
      <c r="S1167" s="11">
        <v>-87.148882</v>
      </c>
      <c r="T1167" s="11" t="s">
        <v>13767</v>
      </c>
      <c r="U1167" s="11" t="s">
        <v>13768</v>
      </c>
      <c r="V1167" s="17" t="s">
        <v>13783</v>
      </c>
      <c r="W1167" s="17"/>
      <c r="X1167" s="70">
        <v>289</v>
      </c>
      <c r="Y1167" s="70">
        <v>259</v>
      </c>
      <c r="Z1167" s="13">
        <v>30357</v>
      </c>
      <c r="AA1167" s="13">
        <v>30480</v>
      </c>
      <c r="AB1167" s="13">
        <v>30555</v>
      </c>
      <c r="AC1167" s="13">
        <v>37182</v>
      </c>
      <c r="AD1167" s="86">
        <v>15811</v>
      </c>
      <c r="AE1167" s="86">
        <v>15900</v>
      </c>
      <c r="AF1167" s="70" t="s">
        <v>11383</v>
      </c>
      <c r="AG1167" s="17" t="s">
        <v>13771</v>
      </c>
      <c r="AH1167" s="17"/>
      <c r="AI1167" s="70" t="s">
        <v>13772</v>
      </c>
      <c r="AJ1167" s="17" t="s">
        <v>13773</v>
      </c>
      <c r="AK1167" s="17" t="s">
        <v>825</v>
      </c>
      <c r="AL1167" s="17" t="s">
        <v>13784</v>
      </c>
      <c r="AM1167" s="17" t="s">
        <v>95</v>
      </c>
      <c r="AN1167" s="17"/>
      <c r="AO1167" s="17" t="s">
        <v>11324</v>
      </c>
      <c r="AP1167" s="17" t="s">
        <v>13785</v>
      </c>
      <c r="AQ1167" s="17" t="s">
        <v>13786</v>
      </c>
      <c r="AR1167" s="17" t="s">
        <v>13787</v>
      </c>
      <c r="AS1167" s="17" t="s">
        <v>13788</v>
      </c>
      <c r="AT1167" s="17"/>
      <c r="AU1167" s="30" t="s">
        <v>13789</v>
      </c>
      <c r="AV1167" s="14">
        <v>15420</v>
      </c>
      <c r="AW1167" s="74"/>
      <c r="AX1167" s="1"/>
      <c r="AY1167" s="17" t="s">
        <v>101</v>
      </c>
    </row>
    <row r="1168" spans="1:51" ht="15" customHeight="1" x14ac:dyDescent="0.25">
      <c r="A1168" s="5">
        <v>1112</v>
      </c>
      <c r="B1168" s="9">
        <v>1112</v>
      </c>
      <c r="C1168" s="9" t="s">
        <v>13790</v>
      </c>
      <c r="D1168" s="57" t="str">
        <f>HYPERLINK("http://prodenv.dep.state.fl.us/DepNexus/public/electronic-documents/OG_1112/facility!search","OG_1112_Docs")</f>
        <v>OG_1112_Docs</v>
      </c>
      <c r="E1168" s="57" t="str">
        <f>HYPERLINK("https://ca.dep.state.fl.us/mapdirect/?focus=oilandgas&amp;zoom=query&amp;querytype=oilandgas&amp;queryvalues=OG_1112","OG_1112_Map")</f>
        <v>OG_1112_Map</v>
      </c>
      <c r="F1168" s="1" t="s">
        <v>1151</v>
      </c>
      <c r="G1168" s="1" t="s">
        <v>79</v>
      </c>
      <c r="H1168" s="1" t="s">
        <v>8093</v>
      </c>
      <c r="I1168" s="1" t="s">
        <v>13791</v>
      </c>
      <c r="J1168" s="17" t="s">
        <v>82</v>
      </c>
      <c r="K1168" s="17" t="s">
        <v>83</v>
      </c>
      <c r="L1168" s="17"/>
      <c r="M1168" s="17" t="s">
        <v>101</v>
      </c>
      <c r="N1168" s="52" t="s">
        <v>13792</v>
      </c>
      <c r="O1168" s="17" t="s">
        <v>86</v>
      </c>
      <c r="P1168" s="17" t="s">
        <v>86</v>
      </c>
      <c r="Q1168" s="81" t="s">
        <v>13793</v>
      </c>
      <c r="R1168" s="11">
        <v>30.146508000000001</v>
      </c>
      <c r="S1168" s="11">
        <v>-83.454277000000005</v>
      </c>
      <c r="T1168" s="11" t="s">
        <v>13794</v>
      </c>
      <c r="U1168" s="11" t="s">
        <v>13795</v>
      </c>
      <c r="V1168" s="17" t="s">
        <v>13796</v>
      </c>
      <c r="W1168" s="17" t="s">
        <v>110</v>
      </c>
      <c r="X1168" s="70">
        <v>111</v>
      </c>
      <c r="Y1168" s="70">
        <v>90</v>
      </c>
      <c r="Z1168" s="13">
        <v>30400</v>
      </c>
      <c r="AA1168" s="13">
        <v>30433</v>
      </c>
      <c r="AB1168" s="13">
        <v>30499</v>
      </c>
      <c r="AC1168" s="13">
        <v>30499</v>
      </c>
      <c r="AD1168" s="86">
        <v>9000</v>
      </c>
      <c r="AE1168" s="86">
        <v>9000</v>
      </c>
      <c r="AF1168" s="70" t="s">
        <v>13797</v>
      </c>
      <c r="AG1168" s="17" t="s">
        <v>13798</v>
      </c>
      <c r="AH1168" s="17" t="s">
        <v>86</v>
      </c>
      <c r="AI1168" s="70" t="s">
        <v>94</v>
      </c>
      <c r="AJ1168" s="17" t="s">
        <v>94</v>
      </c>
      <c r="AK1168" s="17" t="s">
        <v>95</v>
      </c>
      <c r="AL1168" s="17" t="s">
        <v>13799</v>
      </c>
      <c r="AM1168" s="17" t="s">
        <v>825</v>
      </c>
      <c r="AN1168" s="17" t="s">
        <v>86</v>
      </c>
      <c r="AO1168" s="17" t="s">
        <v>98</v>
      </c>
      <c r="AP1168" s="17" t="s">
        <v>98</v>
      </c>
      <c r="AQ1168" s="17" t="s">
        <v>98</v>
      </c>
      <c r="AR1168" s="17" t="s">
        <v>94</v>
      </c>
      <c r="AS1168" s="17" t="s">
        <v>13800</v>
      </c>
      <c r="AT1168" s="17">
        <v>147</v>
      </c>
      <c r="AU1168" s="30" t="s">
        <v>13801</v>
      </c>
      <c r="AV1168" s="14">
        <v>15445</v>
      </c>
      <c r="AW1168" s="74"/>
      <c r="AX1168" s="1"/>
      <c r="AY1168" s="17" t="s">
        <v>101</v>
      </c>
    </row>
    <row r="1169" spans="1:51" ht="15" customHeight="1" x14ac:dyDescent="0.25">
      <c r="A1169" s="5">
        <v>1113</v>
      </c>
      <c r="B1169" s="9">
        <v>1113</v>
      </c>
      <c r="C1169" s="9" t="s">
        <v>13802</v>
      </c>
      <c r="D1169" s="57" t="str">
        <f>HYPERLINK("http://prodenv.dep.state.fl.us/DepNexus/public/electronic-documents/OG_1113/facility!search","OG_1113_Docs")</f>
        <v>OG_1113_Docs</v>
      </c>
      <c r="E1169" s="57" t="str">
        <f>HYPERLINK("https://ca.dep.state.fl.us/mapdirect/?focus=oilandgas&amp;zoom=query&amp;querytype=oilandgas&amp;queryvalues=OG_1113","OG_1113_Map")</f>
        <v>OG_1113_Map</v>
      </c>
      <c r="F1169" s="1" t="s">
        <v>1797</v>
      </c>
      <c r="G1169" s="1" t="s">
        <v>5133</v>
      </c>
      <c r="H1169" s="1" t="s">
        <v>8261</v>
      </c>
      <c r="I1169" s="1" t="s">
        <v>13803</v>
      </c>
      <c r="J1169" s="17" t="s">
        <v>268</v>
      </c>
      <c r="K1169" s="17" t="s">
        <v>412</v>
      </c>
      <c r="L1169" s="17"/>
      <c r="M1169" s="17"/>
      <c r="N1169" s="52" t="s">
        <v>6529</v>
      </c>
      <c r="O1169" s="17" t="s">
        <v>86</v>
      </c>
      <c r="P1169" s="17" t="s">
        <v>86</v>
      </c>
      <c r="Q1169" s="81" t="s">
        <v>5845</v>
      </c>
      <c r="R1169" s="11">
        <v>30.981179999999998</v>
      </c>
      <c r="S1169" s="11">
        <v>-87.154442000000003</v>
      </c>
      <c r="T1169" s="11" t="s">
        <v>13804</v>
      </c>
      <c r="U1169" s="11" t="s">
        <v>13805</v>
      </c>
      <c r="V1169" s="17" t="s">
        <v>13806</v>
      </c>
      <c r="W1169" s="17"/>
      <c r="X1169" s="70">
        <v>209.7</v>
      </c>
      <c r="Y1169" s="70">
        <v>179.7</v>
      </c>
      <c r="Z1169" s="13">
        <v>30421</v>
      </c>
      <c r="AA1169" s="13">
        <v>30610</v>
      </c>
      <c r="AB1169" s="13">
        <v>30715</v>
      </c>
      <c r="AC1169" s="13">
        <v>39997</v>
      </c>
      <c r="AD1169" s="86">
        <v>15782</v>
      </c>
      <c r="AE1169" s="70">
        <v>15800</v>
      </c>
      <c r="AF1169" s="71" t="s">
        <v>3172</v>
      </c>
      <c r="AG1169" s="17" t="s">
        <v>13807</v>
      </c>
      <c r="AH1169" s="17"/>
      <c r="AI1169" s="70" t="s">
        <v>13808</v>
      </c>
      <c r="AJ1169" s="17" t="s">
        <v>13809</v>
      </c>
      <c r="AK1169" s="17"/>
      <c r="AL1169" s="17" t="s">
        <v>13810</v>
      </c>
      <c r="AM1169" s="17" t="s">
        <v>95</v>
      </c>
      <c r="AN1169" s="17"/>
      <c r="AO1169" s="17" t="s">
        <v>13811</v>
      </c>
      <c r="AP1169" s="17" t="s">
        <v>13812</v>
      </c>
      <c r="AQ1169" s="17" t="s">
        <v>13813</v>
      </c>
      <c r="AR1169" s="17" t="s">
        <v>13814</v>
      </c>
      <c r="AS1169" s="17" t="s">
        <v>13815</v>
      </c>
      <c r="AT1169" s="17"/>
      <c r="AU1169" s="30" t="s">
        <v>13816</v>
      </c>
      <c r="AV1169" s="14">
        <v>15558</v>
      </c>
      <c r="AW1169" s="74"/>
      <c r="AX1169" s="1"/>
      <c r="AY1169" s="17" t="s">
        <v>101</v>
      </c>
    </row>
    <row r="1170" spans="1:51" ht="12.75" customHeight="1" x14ac:dyDescent="0.25">
      <c r="A1170" s="5">
        <v>1114</v>
      </c>
      <c r="B1170" s="9">
        <v>1114</v>
      </c>
      <c r="C1170" s="9" t="s">
        <v>13817</v>
      </c>
      <c r="D1170" s="57" t="str">
        <f>HYPERLINK("http://prodenv.dep.state.fl.us/DepNexus/public/electronic-documents/OG_1114/facility!search","OG_1114_Docs")</f>
        <v>OG_1114_Docs</v>
      </c>
      <c r="E1170" s="57" t="str">
        <f>HYPERLINK("https://ca.dep.state.fl.us/mapdirect/?focus=oilandgas&amp;zoom=query&amp;querytype=oilandgas&amp;queryvalues=OG_1114","OG_1114_Map")</f>
        <v>OG_1114_Map</v>
      </c>
      <c r="F1170" s="1" t="s">
        <v>1797</v>
      </c>
      <c r="G1170" s="1" t="s">
        <v>79</v>
      </c>
      <c r="H1170" s="1" t="s">
        <v>13682</v>
      </c>
      <c r="I1170" s="1" t="s">
        <v>13818</v>
      </c>
      <c r="J1170" s="17" t="s">
        <v>82</v>
      </c>
      <c r="K1170" s="17" t="s">
        <v>83</v>
      </c>
      <c r="L1170" s="17"/>
      <c r="M1170" s="17"/>
      <c r="N1170" s="52" t="s">
        <v>86</v>
      </c>
      <c r="O1170" s="17" t="s">
        <v>1962</v>
      </c>
      <c r="P1170" s="17" t="s">
        <v>86</v>
      </c>
      <c r="Q1170" s="81" t="s">
        <v>13819</v>
      </c>
      <c r="R1170" s="11">
        <v>30.848320000000001</v>
      </c>
      <c r="S1170" s="11">
        <v>-86.941046</v>
      </c>
      <c r="T1170" s="11" t="s">
        <v>13820</v>
      </c>
      <c r="U1170" s="11" t="s">
        <v>13821</v>
      </c>
      <c r="V1170" s="17" t="s">
        <v>13822</v>
      </c>
      <c r="W1170" s="17"/>
      <c r="X1170" s="70">
        <v>170</v>
      </c>
      <c r="Y1170" s="70">
        <v>150</v>
      </c>
      <c r="Z1170" s="13">
        <v>30433</v>
      </c>
      <c r="AA1170" s="13">
        <v>30516</v>
      </c>
      <c r="AB1170" s="13"/>
      <c r="AC1170" s="13">
        <v>30569</v>
      </c>
      <c r="AD1170" s="86">
        <v>15738</v>
      </c>
      <c r="AE1170" s="86">
        <v>15738</v>
      </c>
      <c r="AF1170" s="71" t="s">
        <v>3172</v>
      </c>
      <c r="AG1170" s="17" t="s">
        <v>13823</v>
      </c>
      <c r="AH1170" s="17" t="s">
        <v>94</v>
      </c>
      <c r="AI1170" s="70" t="s">
        <v>86</v>
      </c>
      <c r="AJ1170" s="17" t="s">
        <v>94</v>
      </c>
      <c r="AK1170" s="17" t="s">
        <v>95</v>
      </c>
      <c r="AL1170" s="17" t="s">
        <v>13824</v>
      </c>
      <c r="AM1170" s="17" t="s">
        <v>95</v>
      </c>
      <c r="AN1170" s="17" t="s">
        <v>94</v>
      </c>
      <c r="AO1170" s="17" t="s">
        <v>94</v>
      </c>
      <c r="AP1170" s="17" t="s">
        <v>94</v>
      </c>
      <c r="AQ1170" s="17" t="s">
        <v>94</v>
      </c>
      <c r="AR1170" s="17" t="s">
        <v>94</v>
      </c>
      <c r="AS1170" s="17" t="s">
        <v>13825</v>
      </c>
      <c r="AT1170" s="17"/>
      <c r="AU1170" s="30" t="s">
        <v>13826</v>
      </c>
      <c r="AV1170" s="14">
        <v>15460</v>
      </c>
      <c r="AW1170" s="74"/>
      <c r="AX1170" s="1"/>
      <c r="AY1170" s="17" t="s">
        <v>101</v>
      </c>
    </row>
    <row r="1171" spans="1:51" ht="15" customHeight="1" x14ac:dyDescent="0.25">
      <c r="A1171" s="5">
        <v>1115</v>
      </c>
      <c r="B1171" s="9">
        <v>1115</v>
      </c>
      <c r="C1171" s="9" t="s">
        <v>13827</v>
      </c>
      <c r="D1171" s="57" t="str">
        <f>HYPERLINK("http://prodenv.dep.state.fl.us/DepNexus/public/electronic-documents/OG_1115/facility!search","OG_1115_Docs")</f>
        <v>OG_1115_Docs</v>
      </c>
      <c r="E1171" s="57" t="str">
        <f>HYPERLINK("https://ca.dep.state.fl.us/mapdirect/?focus=oilandgas&amp;zoom=query&amp;querytype=oilandgas&amp;queryvalues=OG_1115","OG_1115_Map")</f>
        <v>OG_1115_Map</v>
      </c>
      <c r="F1171" s="1" t="s">
        <v>265</v>
      </c>
      <c r="G1171" s="1" t="s">
        <v>7239</v>
      </c>
      <c r="H1171" s="1" t="s">
        <v>8261</v>
      </c>
      <c r="I1171" s="1" t="s">
        <v>13828</v>
      </c>
      <c r="J1171" s="17" t="s">
        <v>268</v>
      </c>
      <c r="K1171" s="17" t="s">
        <v>6671</v>
      </c>
      <c r="L1171" s="17"/>
      <c r="M1171" s="17"/>
      <c r="N1171" s="52" t="s">
        <v>13829</v>
      </c>
      <c r="O1171" s="17" t="s">
        <v>270</v>
      </c>
      <c r="P1171" s="17" t="s">
        <v>3395</v>
      </c>
      <c r="Q1171" s="81" t="s">
        <v>8263</v>
      </c>
      <c r="R1171" s="11">
        <v>26.224741999999999</v>
      </c>
      <c r="S1171" s="11">
        <v>-81.279150000000001</v>
      </c>
      <c r="T1171" s="11" t="s">
        <v>13830</v>
      </c>
      <c r="U1171" s="11" t="s">
        <v>13831</v>
      </c>
      <c r="V1171" s="17" t="s">
        <v>13832</v>
      </c>
      <c r="W1171" s="17" t="s">
        <v>13833</v>
      </c>
      <c r="X1171" s="70">
        <v>40</v>
      </c>
      <c r="Y1171" s="70">
        <v>19</v>
      </c>
      <c r="Z1171" s="13">
        <v>30454</v>
      </c>
      <c r="AA1171" s="13">
        <v>30537</v>
      </c>
      <c r="AB1171" s="13">
        <v>30571</v>
      </c>
      <c r="AC1171" s="13">
        <v>33473</v>
      </c>
      <c r="AD1171" s="86">
        <v>11669</v>
      </c>
      <c r="AE1171" s="86">
        <v>11950</v>
      </c>
      <c r="AF1171" s="70" t="s">
        <v>13834</v>
      </c>
      <c r="AG1171" s="17" t="s">
        <v>13835</v>
      </c>
      <c r="AH1171" s="17" t="s">
        <v>13836</v>
      </c>
      <c r="AI1171" s="70" t="s">
        <v>13837</v>
      </c>
      <c r="AJ1171" s="17" t="s">
        <v>13838</v>
      </c>
      <c r="AK1171" s="17" t="s">
        <v>95</v>
      </c>
      <c r="AL1171" s="17" t="s">
        <v>13839</v>
      </c>
      <c r="AM1171" s="17" t="s">
        <v>825</v>
      </c>
      <c r="AN1171" s="17" t="s">
        <v>94</v>
      </c>
      <c r="AO1171" s="17" t="s">
        <v>94</v>
      </c>
      <c r="AP1171" s="17" t="s">
        <v>94</v>
      </c>
      <c r="AQ1171" s="17" t="s">
        <v>94</v>
      </c>
      <c r="AR1171" s="17" t="s">
        <v>13840</v>
      </c>
      <c r="AS1171" s="17" t="s">
        <v>13841</v>
      </c>
      <c r="AT1171" s="17">
        <v>170</v>
      </c>
      <c r="AU1171" s="30" t="s">
        <v>13842</v>
      </c>
      <c r="AV1171" s="14">
        <v>15455</v>
      </c>
      <c r="AW1171" s="74"/>
      <c r="AX1171" s="1" t="s">
        <v>13843</v>
      </c>
      <c r="AY1171" s="17" t="s">
        <v>101</v>
      </c>
    </row>
    <row r="1172" spans="1:51" ht="12.75" customHeight="1" x14ac:dyDescent="0.25">
      <c r="A1172" s="5">
        <v>1116</v>
      </c>
      <c r="B1172" s="9">
        <v>1116</v>
      </c>
      <c r="C1172" s="9" t="s">
        <v>13844</v>
      </c>
      <c r="D1172" s="57" t="str">
        <f>HYPERLINK("http://prodenv.dep.state.fl.us/DepNexus/public/electronic-documents/OG_1116/facility!search","OG_1116_Docs")</f>
        <v>OG_1116_Docs</v>
      </c>
      <c r="E1172" s="57" t="str">
        <f>HYPERLINK("https://ca.dep.state.fl.us/mapdirect/?focus=oilandgas&amp;zoom=query&amp;querytype=oilandgas&amp;queryvalues=OG_1116","OG_1116_Map")</f>
        <v>OG_1116_Map</v>
      </c>
      <c r="F1172" s="1" t="s">
        <v>1752</v>
      </c>
      <c r="G1172" s="1" t="s">
        <v>13285</v>
      </c>
      <c r="H1172" s="1" t="s">
        <v>13845</v>
      </c>
      <c r="I1172" s="1" t="s">
        <v>13419</v>
      </c>
      <c r="J1172" s="17" t="s">
        <v>268</v>
      </c>
      <c r="K1172" s="17" t="s">
        <v>5975</v>
      </c>
      <c r="L1172" s="17"/>
      <c r="M1172" s="17"/>
      <c r="N1172" s="52" t="s">
        <v>86</v>
      </c>
      <c r="O1172" s="17" t="s">
        <v>86</v>
      </c>
      <c r="P1172" s="17" t="s">
        <v>86</v>
      </c>
      <c r="Q1172" s="81" t="s">
        <v>13421</v>
      </c>
      <c r="R1172" s="11">
        <v>26.583456999999999</v>
      </c>
      <c r="S1172" s="11">
        <v>-81.463980000000006</v>
      </c>
      <c r="T1172" s="11" t="s">
        <v>13846</v>
      </c>
      <c r="U1172" s="11" t="s">
        <v>13847</v>
      </c>
      <c r="V1172" s="17" t="s">
        <v>13848</v>
      </c>
      <c r="W1172" s="17" t="s">
        <v>110</v>
      </c>
      <c r="X1172" s="70">
        <v>55</v>
      </c>
      <c r="Y1172" s="70">
        <v>34</v>
      </c>
      <c r="Z1172" s="13">
        <v>30467</v>
      </c>
      <c r="AA1172" s="13">
        <v>30201</v>
      </c>
      <c r="AB1172" s="13">
        <v>31094</v>
      </c>
      <c r="AC1172" s="13">
        <v>36060</v>
      </c>
      <c r="AD1172" s="86">
        <v>11490</v>
      </c>
      <c r="AE1172" s="86">
        <v>11490</v>
      </c>
      <c r="AF1172" s="70" t="s">
        <v>13849</v>
      </c>
      <c r="AG1172" s="17" t="s">
        <v>13850</v>
      </c>
      <c r="AH1172" s="17" t="s">
        <v>13851</v>
      </c>
      <c r="AI1172" s="70" t="s">
        <v>94</v>
      </c>
      <c r="AJ1172" s="17" t="s">
        <v>13852</v>
      </c>
      <c r="AK1172" s="17" t="s">
        <v>94</v>
      </c>
      <c r="AL1172" s="17" t="s">
        <v>94</v>
      </c>
      <c r="AM1172" s="17" t="s">
        <v>94</v>
      </c>
      <c r="AN1172" s="17" t="s">
        <v>94</v>
      </c>
      <c r="AO1172" s="17" t="s">
        <v>94</v>
      </c>
      <c r="AP1172" s="17" t="s">
        <v>94</v>
      </c>
      <c r="AQ1172" s="17" t="s">
        <v>94</v>
      </c>
      <c r="AR1172" s="17" t="s">
        <v>94</v>
      </c>
      <c r="AS1172" s="17" t="s">
        <v>13853</v>
      </c>
      <c r="AT1172" s="17"/>
      <c r="AU1172" s="30" t="s">
        <v>13430</v>
      </c>
      <c r="AV1172" s="14" t="s">
        <v>94</v>
      </c>
      <c r="AW1172" s="74"/>
      <c r="AX1172" s="1" t="s">
        <v>13854</v>
      </c>
      <c r="AY1172" s="17" t="s">
        <v>101</v>
      </c>
    </row>
    <row r="1173" spans="1:51" ht="15" customHeight="1" x14ac:dyDescent="0.25">
      <c r="A1173" s="5">
        <v>1117</v>
      </c>
      <c r="B1173" s="9">
        <v>1117</v>
      </c>
      <c r="C1173" s="9" t="s">
        <v>13855</v>
      </c>
      <c r="D1173" s="57" t="str">
        <f>HYPERLINK("http://prodenv.dep.state.fl.us/DepNexus/public/electronic-documents/OG_1117/facility!search","OG_1117_Docs")</f>
        <v>OG_1117_Docs</v>
      </c>
      <c r="E1173" s="57" t="str">
        <f>HYPERLINK("https://ca.dep.state.fl.us/mapdirect/?focus=oilandgas&amp;zoom=query&amp;querytype=oilandgas&amp;queryvalues=OG_1117","OG_1117_Map")</f>
        <v>OG_1117_Map</v>
      </c>
      <c r="F1173" s="1" t="s">
        <v>1797</v>
      </c>
      <c r="G1173" s="1" t="s">
        <v>79</v>
      </c>
      <c r="H1173" s="1" t="s">
        <v>13856</v>
      </c>
      <c r="I1173" s="1" t="s">
        <v>13857</v>
      </c>
      <c r="J1173" s="17" t="s">
        <v>82</v>
      </c>
      <c r="K1173" s="17" t="s">
        <v>83</v>
      </c>
      <c r="L1173" s="17"/>
      <c r="M1173" s="17"/>
      <c r="N1173" s="52" t="s">
        <v>5949</v>
      </c>
      <c r="O1173" s="17" t="s">
        <v>86</v>
      </c>
      <c r="P1173" s="17" t="s">
        <v>86</v>
      </c>
      <c r="Q1173" s="81" t="s">
        <v>13858</v>
      </c>
      <c r="R1173" s="11">
        <v>30.758776000000001</v>
      </c>
      <c r="S1173" s="11">
        <v>-87.036876000000007</v>
      </c>
      <c r="T1173" s="11" t="s">
        <v>13859</v>
      </c>
      <c r="U1173" s="11" t="s">
        <v>13860</v>
      </c>
      <c r="V1173" s="17" t="s">
        <v>13861</v>
      </c>
      <c r="W1173" s="17" t="s">
        <v>13861</v>
      </c>
      <c r="X1173" s="70">
        <v>21</v>
      </c>
      <c r="Y1173" s="70">
        <v>200</v>
      </c>
      <c r="Z1173" s="13">
        <v>30467</v>
      </c>
      <c r="AA1173" s="13">
        <v>30521</v>
      </c>
      <c r="AB1173" s="13">
        <v>30561</v>
      </c>
      <c r="AC1173" s="13">
        <v>30565</v>
      </c>
      <c r="AD1173" s="86">
        <v>16800</v>
      </c>
      <c r="AE1173" s="86">
        <v>16800</v>
      </c>
      <c r="AF1173" s="70"/>
      <c r="AG1173" s="17" t="s">
        <v>13862</v>
      </c>
      <c r="AH1173" s="17" t="s">
        <v>94</v>
      </c>
      <c r="AI1173" s="70" t="s">
        <v>94</v>
      </c>
      <c r="AJ1173" s="17" t="s">
        <v>94</v>
      </c>
      <c r="AK1173" s="17" t="s">
        <v>95</v>
      </c>
      <c r="AL1173" s="17" t="s">
        <v>94</v>
      </c>
      <c r="AM1173" s="17" t="s">
        <v>94</v>
      </c>
      <c r="AN1173" s="17" t="s">
        <v>94</v>
      </c>
      <c r="AO1173" s="17" t="s">
        <v>98</v>
      </c>
      <c r="AP1173" s="17" t="s">
        <v>98</v>
      </c>
      <c r="AQ1173" s="17" t="s">
        <v>98</v>
      </c>
      <c r="AR1173" s="17" t="s">
        <v>94</v>
      </c>
      <c r="AS1173" s="17" t="s">
        <v>13863</v>
      </c>
      <c r="AT1173" s="17"/>
      <c r="AU1173" s="30" t="s">
        <v>13864</v>
      </c>
      <c r="AV1173" s="14">
        <v>15412</v>
      </c>
      <c r="AW1173" s="74"/>
      <c r="AX1173" s="1"/>
      <c r="AY1173" s="17" t="s">
        <v>101</v>
      </c>
    </row>
    <row r="1174" spans="1:51" ht="15" customHeight="1" x14ac:dyDescent="0.25">
      <c r="A1174" s="5">
        <v>1118</v>
      </c>
      <c r="B1174" s="9">
        <v>1118</v>
      </c>
      <c r="C1174" s="9" t="s">
        <v>13865</v>
      </c>
      <c r="D1174" s="57" t="str">
        <f>HYPERLINK("http://prodenv.dep.state.fl.us/DepNexus/public/electronic-documents/OG_1118/facility!search","OG_1118_Docs")</f>
        <v>OG_1118_Docs</v>
      </c>
      <c r="E1174" s="57" t="str">
        <f>HYPERLINK("https://ca.dep.state.fl.us/mapdirect/?focus=oilandgas&amp;zoom=query&amp;querytype=oilandgas&amp;queryvalues=OG_1118","OG_1118_Map")</f>
        <v>OG_1118_Map</v>
      </c>
      <c r="F1174" s="1" t="s">
        <v>265</v>
      </c>
      <c r="G1174" s="1" t="s">
        <v>7239</v>
      </c>
      <c r="H1174" s="1" t="s">
        <v>8318</v>
      </c>
      <c r="I1174" s="1" t="s">
        <v>13866</v>
      </c>
      <c r="J1174" s="17" t="s">
        <v>268</v>
      </c>
      <c r="K1174" s="17" t="s">
        <v>5048</v>
      </c>
      <c r="L1174" s="17"/>
      <c r="M1174" s="17" t="s">
        <v>101</v>
      </c>
      <c r="N1174" s="52" t="s">
        <v>7769</v>
      </c>
      <c r="O1174" s="17" t="s">
        <v>270</v>
      </c>
      <c r="P1174" s="17" t="s">
        <v>3395</v>
      </c>
      <c r="Q1174" s="81" t="s">
        <v>10353</v>
      </c>
      <c r="R1174" s="11">
        <v>26.232655999999999</v>
      </c>
      <c r="S1174" s="11">
        <v>-81.281891999999999</v>
      </c>
      <c r="T1174" s="11" t="s">
        <v>13867</v>
      </c>
      <c r="U1174" s="11" t="s">
        <v>13868</v>
      </c>
      <c r="V1174" s="17" t="s">
        <v>13869</v>
      </c>
      <c r="W1174" s="17" t="s">
        <v>13870</v>
      </c>
      <c r="X1174" s="70">
        <v>40</v>
      </c>
      <c r="Y1174" s="70">
        <v>41</v>
      </c>
      <c r="Z1174" s="13">
        <v>30515</v>
      </c>
      <c r="AA1174" s="13">
        <v>30661</v>
      </c>
      <c r="AB1174" s="13">
        <v>31332</v>
      </c>
      <c r="AC1174" s="13">
        <v>31275</v>
      </c>
      <c r="AD1174" s="86">
        <v>11668</v>
      </c>
      <c r="AE1174" s="86">
        <v>12000</v>
      </c>
      <c r="AF1174" s="71" t="s">
        <v>13871</v>
      </c>
      <c r="AG1174" s="23" t="s">
        <v>13872</v>
      </c>
      <c r="AH1174" s="23" t="s">
        <v>13873</v>
      </c>
      <c r="AI1174" s="71" t="s">
        <v>13874</v>
      </c>
      <c r="AJ1174" s="17" t="s">
        <v>94</v>
      </c>
      <c r="AK1174" s="17" t="s">
        <v>94</v>
      </c>
      <c r="AL1174" s="17" t="s">
        <v>13875</v>
      </c>
      <c r="AM1174" s="17" t="s">
        <v>95</v>
      </c>
      <c r="AN1174" s="17" t="s">
        <v>94</v>
      </c>
      <c r="AO1174" s="17" t="s">
        <v>94</v>
      </c>
      <c r="AP1174" s="17" t="s">
        <v>94</v>
      </c>
      <c r="AQ1174" s="17" t="s">
        <v>94</v>
      </c>
      <c r="AR1174" s="17" t="s">
        <v>13876</v>
      </c>
      <c r="AS1174" s="17" t="s">
        <v>13877</v>
      </c>
      <c r="AT1174" s="17">
        <v>159</v>
      </c>
      <c r="AU1174" s="30" t="s">
        <v>13878</v>
      </c>
      <c r="AV1174" s="14">
        <v>15250</v>
      </c>
      <c r="AW1174" s="74"/>
      <c r="AX1174" s="1"/>
      <c r="AY1174" s="17" t="s">
        <v>101</v>
      </c>
    </row>
    <row r="1175" spans="1:51" ht="12.75" customHeight="1" x14ac:dyDescent="0.25">
      <c r="A1175" s="5">
        <v>1118.0999999999999</v>
      </c>
      <c r="B1175" s="9" t="s">
        <v>13879</v>
      </c>
      <c r="C1175" s="9" t="s">
        <v>13865</v>
      </c>
      <c r="D1175" s="57" t="str">
        <f>HYPERLINK("http://prodenv.dep.state.fl.us/DepNexus/public/electronic-documents/OG_1118/facility!search","OG_1118_Docs")</f>
        <v>OG_1118_Docs</v>
      </c>
      <c r="E1175" s="57" t="str">
        <f>HYPERLINK("https://ca.dep.state.fl.us/mapdirect/?focus=oilandgas&amp;zoom=query&amp;querytype=oilandgas&amp;queryvalues=OG_1118","OG_1118_Map")</f>
        <v>OG_1118_Map</v>
      </c>
      <c r="F1175" s="1" t="s">
        <v>265</v>
      </c>
      <c r="G1175" s="1" t="s">
        <v>7239</v>
      </c>
      <c r="H1175" s="1" t="s">
        <v>12827</v>
      </c>
      <c r="I1175" s="1" t="s">
        <v>13880</v>
      </c>
      <c r="J1175" s="17" t="s">
        <v>13881</v>
      </c>
      <c r="K1175" s="17" t="s">
        <v>5048</v>
      </c>
      <c r="L1175" s="17"/>
      <c r="M1175" s="17" t="s">
        <v>101</v>
      </c>
      <c r="N1175" s="52" t="s">
        <v>7769</v>
      </c>
      <c r="O1175" s="17" t="s">
        <v>270</v>
      </c>
      <c r="P1175" s="17" t="s">
        <v>3395</v>
      </c>
      <c r="Q1175" s="81" t="s">
        <v>10353</v>
      </c>
      <c r="R1175" s="11">
        <v>26.232655999999999</v>
      </c>
      <c r="S1175" s="11">
        <v>-81.281891999999999</v>
      </c>
      <c r="T1175" s="11" t="s">
        <v>13867</v>
      </c>
      <c r="U1175" s="11" t="s">
        <v>13868</v>
      </c>
      <c r="V1175" s="17" t="s">
        <v>13869</v>
      </c>
      <c r="W1175" s="17" t="s">
        <v>13882</v>
      </c>
      <c r="X1175" s="70">
        <v>40</v>
      </c>
      <c r="Y1175" s="70">
        <v>41</v>
      </c>
      <c r="Z1175" s="13">
        <v>30515</v>
      </c>
      <c r="AA1175" s="13">
        <v>31275</v>
      </c>
      <c r="AB1175" s="13">
        <v>31332</v>
      </c>
      <c r="AC1175" s="13">
        <v>38307</v>
      </c>
      <c r="AD1175" s="86">
        <v>11696</v>
      </c>
      <c r="AE1175" s="86">
        <v>12000</v>
      </c>
      <c r="AF1175" s="71" t="s">
        <v>13871</v>
      </c>
      <c r="AG1175" s="23" t="s">
        <v>13872</v>
      </c>
      <c r="AH1175" s="23" t="s">
        <v>13873</v>
      </c>
      <c r="AI1175" s="70" t="s">
        <v>13883</v>
      </c>
      <c r="AJ1175" s="17" t="s">
        <v>13884</v>
      </c>
      <c r="AK1175" s="17" t="s">
        <v>94</v>
      </c>
      <c r="AL1175" s="17" t="s">
        <v>13875</v>
      </c>
      <c r="AM1175" s="17"/>
      <c r="AN1175" s="17" t="s">
        <v>86</v>
      </c>
      <c r="AO1175" s="17" t="s">
        <v>13885</v>
      </c>
      <c r="AP1175" s="17" t="s">
        <v>7932</v>
      </c>
      <c r="AQ1175" s="17" t="s">
        <v>5931</v>
      </c>
      <c r="AR1175" s="17" t="s">
        <v>13886</v>
      </c>
      <c r="AS1175" s="17" t="s">
        <v>13887</v>
      </c>
      <c r="AT1175" s="17">
        <v>192</v>
      </c>
      <c r="AU1175" s="30" t="s">
        <v>13888</v>
      </c>
      <c r="AV1175" s="14">
        <v>15706</v>
      </c>
      <c r="AW1175" s="74">
        <v>309819</v>
      </c>
      <c r="AX1175" s="1" t="s">
        <v>13889</v>
      </c>
      <c r="AY1175" s="17" t="s">
        <v>101</v>
      </c>
    </row>
    <row r="1176" spans="1:51" ht="15" customHeight="1" x14ac:dyDescent="0.25">
      <c r="A1176" s="5">
        <v>1119</v>
      </c>
      <c r="B1176" s="9">
        <v>1119</v>
      </c>
      <c r="C1176" s="9" t="s">
        <v>13890</v>
      </c>
      <c r="D1176" s="57" t="str">
        <f>HYPERLINK("http://prodenv.dep.state.fl.us/DepNexus/public/electronic-documents/OG_1119/facility!search","OG_1119_Docs")</f>
        <v>OG_1119_Docs</v>
      </c>
      <c r="E1176" s="57" t="str">
        <f>HYPERLINK("https://ca.dep.state.fl.us/mapdirect/?focus=oilandgas&amp;zoom=query&amp;querytype=oilandgas&amp;queryvalues=OG_1119","OG_1119_Map")</f>
        <v>OG_1119_Map</v>
      </c>
      <c r="F1176" s="1" t="s">
        <v>265</v>
      </c>
      <c r="G1176" s="1" t="s">
        <v>7239</v>
      </c>
      <c r="H1176" s="1" t="s">
        <v>12827</v>
      </c>
      <c r="I1176" s="1" t="s">
        <v>13891</v>
      </c>
      <c r="J1176" s="17" t="s">
        <v>13881</v>
      </c>
      <c r="K1176" s="17" t="s">
        <v>5048</v>
      </c>
      <c r="L1176" s="17"/>
      <c r="M1176" s="17" t="s">
        <v>101</v>
      </c>
      <c r="N1176" s="52" t="s">
        <v>9659</v>
      </c>
      <c r="O1176" s="17" t="s">
        <v>270</v>
      </c>
      <c r="P1176" s="17" t="s">
        <v>3395</v>
      </c>
      <c r="Q1176" s="81" t="s">
        <v>9871</v>
      </c>
      <c r="R1176" s="11">
        <v>26.248384000000001</v>
      </c>
      <c r="S1176" s="11">
        <v>-81.296802999999997</v>
      </c>
      <c r="T1176" s="11" t="s">
        <v>13892</v>
      </c>
      <c r="U1176" s="11" t="s">
        <v>13893</v>
      </c>
      <c r="V1176" s="17" t="s">
        <v>13894</v>
      </c>
      <c r="W1176" s="17" t="s">
        <v>13895</v>
      </c>
      <c r="X1176" s="70"/>
      <c r="Y1176" s="70">
        <v>19</v>
      </c>
      <c r="Z1176" s="13">
        <v>30516</v>
      </c>
      <c r="AA1176" s="13">
        <v>30612</v>
      </c>
      <c r="AB1176" s="13">
        <v>30811</v>
      </c>
      <c r="AC1176" s="13">
        <v>38647</v>
      </c>
      <c r="AD1176" s="86">
        <v>11666</v>
      </c>
      <c r="AE1176" s="86">
        <v>12145</v>
      </c>
      <c r="AF1176" s="70" t="s">
        <v>13896</v>
      </c>
      <c r="AG1176" s="17" t="s">
        <v>13897</v>
      </c>
      <c r="AH1176" s="17" t="s">
        <v>13898</v>
      </c>
      <c r="AI1176" s="70" t="s">
        <v>13899</v>
      </c>
      <c r="AJ1176" s="17"/>
      <c r="AK1176" s="17" t="s">
        <v>94</v>
      </c>
      <c r="AL1176" s="17" t="s">
        <v>13900</v>
      </c>
      <c r="AM1176" s="23" t="s">
        <v>95</v>
      </c>
      <c r="AN1176" s="17"/>
      <c r="AO1176" s="17"/>
      <c r="AP1176" s="17"/>
      <c r="AQ1176" s="17"/>
      <c r="AR1176" s="23" t="s">
        <v>13901</v>
      </c>
      <c r="AS1176" s="23" t="s">
        <v>13902</v>
      </c>
      <c r="AT1176" s="17">
        <v>172</v>
      </c>
      <c r="AU1176" s="30" t="s">
        <v>13903</v>
      </c>
      <c r="AV1176" s="14">
        <v>15705</v>
      </c>
      <c r="AW1176" s="74">
        <v>309818</v>
      </c>
      <c r="AX1176" s="1"/>
      <c r="AY1176" s="17" t="s">
        <v>101</v>
      </c>
    </row>
    <row r="1177" spans="1:51" ht="15" customHeight="1" x14ac:dyDescent="0.25">
      <c r="A1177" s="5">
        <v>1120</v>
      </c>
      <c r="B1177" s="9">
        <v>1120</v>
      </c>
      <c r="C1177" s="9" t="s">
        <v>13904</v>
      </c>
      <c r="D1177" s="57" t="str">
        <f>HYPERLINK("http://prodenv.dep.state.fl.us/DepNexus/public/electronic-documents/OG_1120/facility!search","OG_1120_Docs")</f>
        <v>OG_1120_Docs</v>
      </c>
      <c r="E1177" s="57" t="str">
        <f>HYPERLINK("https://ca.dep.state.fl.us/mapdirect/?focus=oilandgas&amp;zoom=query&amp;querytype=oilandgas&amp;queryvalues=OG_1120","OG_1120_Map")</f>
        <v>OG_1120_Map</v>
      </c>
      <c r="F1177" s="1" t="s">
        <v>1797</v>
      </c>
      <c r="G1177" s="1" t="s">
        <v>79</v>
      </c>
      <c r="H1177" s="1" t="s">
        <v>13856</v>
      </c>
      <c r="I1177" s="1" t="s">
        <v>13905</v>
      </c>
      <c r="J1177" s="17" t="s">
        <v>207</v>
      </c>
      <c r="K1177" s="17" t="s">
        <v>208</v>
      </c>
      <c r="L1177" s="17"/>
      <c r="M1177" s="17" t="s">
        <v>207</v>
      </c>
      <c r="N1177" s="52" t="s">
        <v>207</v>
      </c>
      <c r="O1177" s="17" t="s">
        <v>86</v>
      </c>
      <c r="P1177" s="17" t="s">
        <v>86</v>
      </c>
      <c r="Q1177" s="81" t="s">
        <v>3087</v>
      </c>
      <c r="R1177" s="11">
        <v>30.65117</v>
      </c>
      <c r="S1177" s="11">
        <v>-86.853995999999995</v>
      </c>
      <c r="T1177" s="11" t="s">
        <v>13906</v>
      </c>
      <c r="U1177" s="11" t="s">
        <v>13907</v>
      </c>
      <c r="V1177" s="17" t="s">
        <v>13908</v>
      </c>
      <c r="W1177" s="17"/>
      <c r="X1177" s="71"/>
      <c r="Y1177" s="71"/>
      <c r="Z1177" s="13">
        <v>30530</v>
      </c>
      <c r="AA1177" s="26"/>
      <c r="AB1177" s="26"/>
      <c r="AC1177" s="26"/>
      <c r="AD1177" s="86"/>
      <c r="AE1177" s="71"/>
      <c r="AF1177" s="71" t="s">
        <v>207</v>
      </c>
      <c r="AG1177" s="27" t="s">
        <v>207</v>
      </c>
      <c r="AH1177" s="27" t="s">
        <v>207</v>
      </c>
      <c r="AI1177" s="71" t="s">
        <v>207</v>
      </c>
      <c r="AJ1177" s="27" t="s">
        <v>207</v>
      </c>
      <c r="AK1177" s="27" t="s">
        <v>207</v>
      </c>
      <c r="AL1177" s="27" t="s">
        <v>207</v>
      </c>
      <c r="AM1177" s="27" t="s">
        <v>207</v>
      </c>
      <c r="AN1177" s="27" t="s">
        <v>207</v>
      </c>
      <c r="AO1177" s="27" t="s">
        <v>207</v>
      </c>
      <c r="AP1177" s="27" t="s">
        <v>207</v>
      </c>
      <c r="AQ1177" s="27" t="s">
        <v>207</v>
      </c>
      <c r="AR1177" s="27" t="s">
        <v>207</v>
      </c>
      <c r="AS1177" s="27" t="s">
        <v>207</v>
      </c>
      <c r="AT1177" s="27" t="s">
        <v>207</v>
      </c>
      <c r="AU1177" s="30" t="s">
        <v>1843</v>
      </c>
      <c r="AV1177" s="27" t="s">
        <v>207</v>
      </c>
      <c r="AW1177" s="74"/>
      <c r="AX1177" s="1"/>
      <c r="AY1177" s="17" t="s">
        <v>101</v>
      </c>
    </row>
    <row r="1178" spans="1:51" ht="15" customHeight="1" x14ac:dyDescent="0.25">
      <c r="A1178" s="5">
        <v>1121</v>
      </c>
      <c r="B1178" s="9">
        <v>1121</v>
      </c>
      <c r="C1178" s="9" t="s">
        <v>13909</v>
      </c>
      <c r="D1178" s="57" t="str">
        <f>HYPERLINK("http://prodenv.dep.state.fl.us/DepNexus/public/electronic-documents/OG_1121/facility!search","OG_1121_Docs")</f>
        <v>OG_1121_Docs</v>
      </c>
      <c r="E1178" s="57" t="str">
        <f>HYPERLINK("https://ca.dep.state.fl.us/mapdirect/?focus=oilandgas&amp;zoom=query&amp;querytype=oilandgas&amp;queryvalues=OG_1121","OG_1121_Map")</f>
        <v>OG_1121_Map</v>
      </c>
      <c r="F1178" s="1" t="s">
        <v>265</v>
      </c>
      <c r="G1178" s="1" t="s">
        <v>10452</v>
      </c>
      <c r="H1178" s="1" t="s">
        <v>1363</v>
      </c>
      <c r="I1178" s="1" t="s">
        <v>6188</v>
      </c>
      <c r="J1178" s="17" t="s">
        <v>1365</v>
      </c>
      <c r="K1178" s="17" t="s">
        <v>6189</v>
      </c>
      <c r="L1178" s="17"/>
      <c r="M1178" s="17" t="s">
        <v>101</v>
      </c>
      <c r="N1178" s="52" t="s">
        <v>9659</v>
      </c>
      <c r="O1178" s="17" t="s">
        <v>270</v>
      </c>
      <c r="P1178" s="17" t="s">
        <v>3395</v>
      </c>
      <c r="Q1178" s="81" t="s">
        <v>11550</v>
      </c>
      <c r="R1178" s="11">
        <v>25.979773999999999</v>
      </c>
      <c r="S1178" s="11">
        <v>-80.903678999999997</v>
      </c>
      <c r="T1178" s="11" t="s">
        <v>13910</v>
      </c>
      <c r="U1178" s="11" t="s">
        <v>13911</v>
      </c>
      <c r="V1178" s="17" t="s">
        <v>13912</v>
      </c>
      <c r="W1178" s="17" t="s">
        <v>110</v>
      </c>
      <c r="X1178" s="70">
        <v>25</v>
      </c>
      <c r="Y1178" s="70">
        <v>12</v>
      </c>
      <c r="Z1178" s="13">
        <v>30565</v>
      </c>
      <c r="AA1178" s="13">
        <v>30649</v>
      </c>
      <c r="AB1178" s="13">
        <v>30810</v>
      </c>
      <c r="AC1178" s="13"/>
      <c r="AD1178" s="86">
        <v>3900</v>
      </c>
      <c r="AE1178" s="86">
        <v>3900</v>
      </c>
      <c r="AF1178" s="70" t="s">
        <v>6193</v>
      </c>
      <c r="AG1178" s="17" t="s">
        <v>13913</v>
      </c>
      <c r="AH1178" s="17" t="s">
        <v>13914</v>
      </c>
      <c r="AI1178" s="70" t="s">
        <v>13915</v>
      </c>
      <c r="AJ1178" s="17" t="s">
        <v>13916</v>
      </c>
      <c r="AK1178" s="17" t="s">
        <v>95</v>
      </c>
      <c r="AL1178" s="17" t="s">
        <v>86</v>
      </c>
      <c r="AM1178" s="17"/>
      <c r="AN1178" s="17"/>
      <c r="AO1178" s="17" t="s">
        <v>94</v>
      </c>
      <c r="AP1178" s="17" t="s">
        <v>94</v>
      </c>
      <c r="AQ1178" s="17" t="s">
        <v>94</v>
      </c>
      <c r="AR1178" s="17" t="s">
        <v>13917</v>
      </c>
      <c r="AS1178" s="17"/>
      <c r="AT1178" s="17"/>
      <c r="AU1178" s="30" t="s">
        <v>13918</v>
      </c>
      <c r="AV1178" s="14">
        <v>15979</v>
      </c>
      <c r="AW1178" s="74">
        <v>314443</v>
      </c>
      <c r="AX1178" s="1" t="s">
        <v>13919</v>
      </c>
      <c r="AY1178" s="17" t="s">
        <v>101</v>
      </c>
    </row>
    <row r="1179" spans="1:51" ht="12.75" customHeight="1" x14ac:dyDescent="0.25">
      <c r="A1179" s="5">
        <v>1122</v>
      </c>
      <c r="B1179" s="9">
        <v>1122</v>
      </c>
      <c r="C1179" s="9" t="s">
        <v>13920</v>
      </c>
      <c r="D1179" s="57" t="str">
        <f>HYPERLINK("http://prodenv.dep.state.fl.us/DepNexus/public/electronic-documents/OG_1122/facility!search","OG_1122_Docs")</f>
        <v>OG_1122_Docs</v>
      </c>
      <c r="E1179" s="57" t="str">
        <f>HYPERLINK("https://ca.dep.state.fl.us/mapdirect/?focus=oilandgas&amp;zoom=query&amp;querytype=oilandgas&amp;queryvalues=OG_1122","OG_1122_Map")</f>
        <v>OG_1122_Map</v>
      </c>
      <c r="F1179" s="1" t="s">
        <v>1797</v>
      </c>
      <c r="G1179" s="1" t="s">
        <v>79</v>
      </c>
      <c r="H1179" s="1" t="s">
        <v>8378</v>
      </c>
      <c r="I1179" s="1" t="s">
        <v>13921</v>
      </c>
      <c r="J1179" s="17" t="s">
        <v>207</v>
      </c>
      <c r="K1179" s="17" t="s">
        <v>208</v>
      </c>
      <c r="L1179" s="17"/>
      <c r="M1179" s="17" t="s">
        <v>207</v>
      </c>
      <c r="N1179" s="52" t="s">
        <v>207</v>
      </c>
      <c r="O1179" s="23" t="s">
        <v>13619</v>
      </c>
      <c r="P1179" s="17" t="s">
        <v>86</v>
      </c>
      <c r="Q1179" s="81" t="s">
        <v>13619</v>
      </c>
      <c r="R1179" s="11">
        <v>30.445772000000002</v>
      </c>
      <c r="S1179" s="11">
        <v>-87.015579000000002</v>
      </c>
      <c r="T1179" s="11" t="s">
        <v>13922</v>
      </c>
      <c r="U1179" s="11" t="s">
        <v>13923</v>
      </c>
      <c r="V1179" s="23" t="s">
        <v>13924</v>
      </c>
      <c r="W1179" s="17"/>
      <c r="X1179" s="71"/>
      <c r="Y1179" s="71"/>
      <c r="Z1179" s="13">
        <v>30565</v>
      </c>
      <c r="AA1179" s="26"/>
      <c r="AB1179" s="26"/>
      <c r="AC1179" s="26"/>
      <c r="AD1179" s="86"/>
      <c r="AE1179" s="71"/>
      <c r="AF1179" s="71" t="s">
        <v>207</v>
      </c>
      <c r="AG1179" s="27" t="s">
        <v>207</v>
      </c>
      <c r="AH1179" s="27" t="s">
        <v>207</v>
      </c>
      <c r="AI1179" s="71" t="s">
        <v>207</v>
      </c>
      <c r="AJ1179" s="27" t="s">
        <v>207</v>
      </c>
      <c r="AK1179" s="27" t="s">
        <v>207</v>
      </c>
      <c r="AL1179" s="27" t="s">
        <v>207</v>
      </c>
      <c r="AM1179" s="27" t="s">
        <v>207</v>
      </c>
      <c r="AN1179" s="27" t="s">
        <v>207</v>
      </c>
      <c r="AO1179" s="27" t="s">
        <v>207</v>
      </c>
      <c r="AP1179" s="27" t="s">
        <v>207</v>
      </c>
      <c r="AQ1179" s="27" t="s">
        <v>207</v>
      </c>
      <c r="AR1179" s="27" t="s">
        <v>207</v>
      </c>
      <c r="AS1179" s="27" t="s">
        <v>207</v>
      </c>
      <c r="AT1179" s="27" t="s">
        <v>207</v>
      </c>
      <c r="AU1179" s="30" t="s">
        <v>1843</v>
      </c>
      <c r="AV1179" s="27" t="s">
        <v>207</v>
      </c>
      <c r="AW1179" s="74"/>
      <c r="AX1179" s="1" t="s">
        <v>13632</v>
      </c>
      <c r="AY1179" s="17" t="s">
        <v>101</v>
      </c>
    </row>
    <row r="1180" spans="1:51" ht="12.75" customHeight="1" x14ac:dyDescent="0.25">
      <c r="A1180" s="5">
        <v>1123</v>
      </c>
      <c r="B1180" s="9">
        <v>1123</v>
      </c>
      <c r="C1180" s="9" t="s">
        <v>13925</v>
      </c>
      <c r="D1180" s="57" t="str">
        <f>HYPERLINK("http://prodenv.dep.state.fl.us/DepNexus/public/electronic-documents/OG_1123/facility!search","OG_1123_Docs")</f>
        <v>OG_1123_Docs</v>
      </c>
      <c r="E1180" s="57" t="str">
        <f>HYPERLINK("https://ca.dep.state.fl.us/mapdirect/?focus=oilandgas&amp;zoom=query&amp;querytype=oilandgas&amp;queryvalues=OG_1123","OG_1123_Map")</f>
        <v>OG_1123_Map</v>
      </c>
      <c r="F1180" s="1" t="s">
        <v>1797</v>
      </c>
      <c r="G1180" s="1" t="s">
        <v>79</v>
      </c>
      <c r="H1180" s="1" t="s">
        <v>13926</v>
      </c>
      <c r="I1180" s="1" t="s">
        <v>13927</v>
      </c>
      <c r="J1180" s="17" t="s">
        <v>82</v>
      </c>
      <c r="K1180" s="17" t="s">
        <v>83</v>
      </c>
      <c r="L1180" s="17"/>
      <c r="M1180" s="17"/>
      <c r="N1180" s="52" t="s">
        <v>6529</v>
      </c>
      <c r="O1180" s="17" t="s">
        <v>86</v>
      </c>
      <c r="P1180" s="17" t="s">
        <v>86</v>
      </c>
      <c r="Q1180" s="81" t="s">
        <v>13928</v>
      </c>
      <c r="R1180" s="11">
        <v>30.782309999999999</v>
      </c>
      <c r="S1180" s="11">
        <v>-87.106565000000003</v>
      </c>
      <c r="T1180" s="11" t="s">
        <v>13929</v>
      </c>
      <c r="U1180" s="11" t="s">
        <v>13930</v>
      </c>
      <c r="V1180" s="17" t="s">
        <v>13931</v>
      </c>
      <c r="W1180" s="17"/>
      <c r="X1180" s="70">
        <v>231</v>
      </c>
      <c r="Y1180" s="70">
        <v>210</v>
      </c>
      <c r="Z1180" s="13">
        <v>30573</v>
      </c>
      <c r="AA1180" s="13">
        <v>30633</v>
      </c>
      <c r="AB1180" s="13"/>
      <c r="AC1180" s="13">
        <v>30734</v>
      </c>
      <c r="AD1180" s="86">
        <v>16932</v>
      </c>
      <c r="AE1180" s="86">
        <v>16933</v>
      </c>
      <c r="AF1180" s="71" t="s">
        <v>3172</v>
      </c>
      <c r="AG1180" s="17" t="s">
        <v>13932</v>
      </c>
      <c r="AH1180" s="17" t="s">
        <v>94</v>
      </c>
      <c r="AI1180" s="70" t="s">
        <v>86</v>
      </c>
      <c r="AJ1180" s="17" t="s">
        <v>94</v>
      </c>
      <c r="AK1180" s="17" t="s">
        <v>95</v>
      </c>
      <c r="AL1180" s="17" t="s">
        <v>95</v>
      </c>
      <c r="AM1180" s="23" t="s">
        <v>95</v>
      </c>
      <c r="AN1180" s="17" t="s">
        <v>94</v>
      </c>
      <c r="AO1180" s="17" t="s">
        <v>94</v>
      </c>
      <c r="AP1180" s="17" t="s">
        <v>94</v>
      </c>
      <c r="AQ1180" s="17" t="s">
        <v>94</v>
      </c>
      <c r="AR1180" s="17" t="s">
        <v>94</v>
      </c>
      <c r="AS1180" s="23" t="s">
        <v>13933</v>
      </c>
      <c r="AT1180" s="17"/>
      <c r="AU1180" s="32" t="s">
        <v>13934</v>
      </c>
      <c r="AV1180" s="14">
        <v>15462</v>
      </c>
      <c r="AW1180" s="74"/>
      <c r="AX1180" s="1"/>
      <c r="AY1180" s="17" t="s">
        <v>101</v>
      </c>
    </row>
    <row r="1181" spans="1:51" ht="12.75" customHeight="1" x14ac:dyDescent="0.25">
      <c r="A1181" s="5">
        <v>1124</v>
      </c>
      <c r="B1181" s="9">
        <v>1124</v>
      </c>
      <c r="C1181" s="9" t="s">
        <v>13935</v>
      </c>
      <c r="D1181" s="57" t="str">
        <f>HYPERLINK("http://prodenv.dep.state.fl.us/DepNexus/public/electronic-documents/OG_1124/facility!search","OG_1124_Docs")</f>
        <v>OG_1124_Docs</v>
      </c>
      <c r="E1181" s="57" t="str">
        <f>HYPERLINK("https://ca.dep.state.fl.us/mapdirect/?focus=oilandgas&amp;zoom=query&amp;querytype=oilandgas&amp;queryvalues=OG_1124","OG_1124_Map")</f>
        <v>OG_1124_Map</v>
      </c>
      <c r="F1181" s="1" t="s">
        <v>2026</v>
      </c>
      <c r="G1181" s="1" t="s">
        <v>79</v>
      </c>
      <c r="H1181" s="1" t="s">
        <v>6605</v>
      </c>
      <c r="I1181" s="1" t="s">
        <v>13936</v>
      </c>
      <c r="J1181" s="17" t="s">
        <v>82</v>
      </c>
      <c r="K1181" s="17" t="s">
        <v>83</v>
      </c>
      <c r="L1181" s="17"/>
      <c r="M1181" s="17"/>
      <c r="N1181" s="52" t="s">
        <v>86</v>
      </c>
      <c r="O1181" s="17" t="s">
        <v>86</v>
      </c>
      <c r="P1181" s="17" t="s">
        <v>86</v>
      </c>
      <c r="Q1181" s="81" t="s">
        <v>13937</v>
      </c>
      <c r="R1181" s="11">
        <v>26.668209000000001</v>
      </c>
      <c r="S1181" s="11">
        <v>-81.720378999999994</v>
      </c>
      <c r="T1181" s="11" t="s">
        <v>13938</v>
      </c>
      <c r="U1181" s="11" t="s">
        <v>13939</v>
      </c>
      <c r="V1181" s="17" t="s">
        <v>13940</v>
      </c>
      <c r="W1181" s="17"/>
      <c r="X1181" s="70">
        <v>33.22</v>
      </c>
      <c r="Y1181" s="70">
        <v>12.6</v>
      </c>
      <c r="Z1181" s="13">
        <v>30574</v>
      </c>
      <c r="AA1181" s="13">
        <v>30642</v>
      </c>
      <c r="AB1181" s="13"/>
      <c r="AC1181" s="13">
        <v>30670</v>
      </c>
      <c r="AD1181" s="86">
        <v>11640</v>
      </c>
      <c r="AE1181" s="86">
        <v>11640</v>
      </c>
      <c r="AF1181" s="71" t="s">
        <v>13941</v>
      </c>
      <c r="AG1181" s="17" t="s">
        <v>13942</v>
      </c>
      <c r="AH1181" s="17" t="s">
        <v>13943</v>
      </c>
      <c r="AI1181" s="70" t="s">
        <v>86</v>
      </c>
      <c r="AJ1181" s="17" t="s">
        <v>94</v>
      </c>
      <c r="AK1181" s="17" t="s">
        <v>95</v>
      </c>
      <c r="AL1181" s="17"/>
      <c r="AM1181" s="17"/>
      <c r="AN1181" s="17" t="s">
        <v>13944</v>
      </c>
      <c r="AO1181" s="17" t="s">
        <v>94</v>
      </c>
      <c r="AP1181" s="17" t="s">
        <v>94</v>
      </c>
      <c r="AQ1181" s="17" t="s">
        <v>94</v>
      </c>
      <c r="AR1181" s="17" t="s">
        <v>94</v>
      </c>
      <c r="AS1181" s="17" t="s">
        <v>13945</v>
      </c>
      <c r="AT1181" s="17"/>
      <c r="AU1181" s="30" t="s">
        <v>13946</v>
      </c>
      <c r="AV1181" s="14">
        <v>15472</v>
      </c>
      <c r="AW1181" s="74"/>
      <c r="AX1181" s="1" t="s">
        <v>13947</v>
      </c>
      <c r="AY1181" s="17" t="s">
        <v>101</v>
      </c>
    </row>
    <row r="1182" spans="1:51" ht="12.75" customHeight="1" x14ac:dyDescent="0.25">
      <c r="A1182" s="5">
        <v>1125</v>
      </c>
      <c r="B1182" s="9">
        <v>1125</v>
      </c>
      <c r="C1182" s="9" t="s">
        <v>13948</v>
      </c>
      <c r="D1182" s="57" t="str">
        <f>HYPERLINK("http://prodenv.dep.state.fl.us/DepNexus/public/electronic-documents/OG_1125/facility!search","OG_1125_Docs")</f>
        <v>OG_1125_Docs</v>
      </c>
      <c r="E1182" s="57" t="str">
        <f>HYPERLINK("https://ca.dep.state.fl.us/mapdirect/?focus=oilandgas&amp;zoom=query&amp;querytype=oilandgas&amp;queryvalues=OG_1125","OG_1125_Map")</f>
        <v>OG_1125_Map</v>
      </c>
      <c r="F1182" s="1" t="s">
        <v>1682</v>
      </c>
      <c r="G1182" s="1" t="s">
        <v>13949</v>
      </c>
      <c r="H1182" s="1" t="s">
        <v>13950</v>
      </c>
      <c r="I1182" s="1" t="s">
        <v>13951</v>
      </c>
      <c r="J1182" s="17" t="s">
        <v>268</v>
      </c>
      <c r="K1182" s="17" t="s">
        <v>412</v>
      </c>
      <c r="L1182" s="17"/>
      <c r="M1182" s="17" t="s">
        <v>101</v>
      </c>
      <c r="N1182" s="52" t="s">
        <v>13952</v>
      </c>
      <c r="O1182" s="17" t="s">
        <v>86</v>
      </c>
      <c r="P1182" s="17" t="s">
        <v>86</v>
      </c>
      <c r="Q1182" s="81" t="s">
        <v>13953</v>
      </c>
      <c r="R1182" s="11">
        <v>30.916758000000002</v>
      </c>
      <c r="S1182" s="11">
        <v>-87.357535999999996</v>
      </c>
      <c r="T1182" s="11" t="s">
        <v>13954</v>
      </c>
      <c r="U1182" s="11" t="s">
        <v>13955</v>
      </c>
      <c r="V1182" s="17" t="s">
        <v>13956</v>
      </c>
      <c r="W1182" s="17" t="s">
        <v>110</v>
      </c>
      <c r="X1182" s="70">
        <v>177</v>
      </c>
      <c r="Y1182" s="70">
        <v>157</v>
      </c>
      <c r="Z1182" s="13">
        <v>30653</v>
      </c>
      <c r="AA1182" s="13">
        <v>30667</v>
      </c>
      <c r="AB1182" s="13">
        <v>30766</v>
      </c>
      <c r="AC1182" s="13">
        <v>33554</v>
      </c>
      <c r="AD1182" s="86">
        <v>16800</v>
      </c>
      <c r="AE1182" s="86">
        <v>16800</v>
      </c>
      <c r="AF1182" s="70"/>
      <c r="AG1182" s="17" t="s">
        <v>10306</v>
      </c>
      <c r="AH1182" s="17" t="s">
        <v>86</v>
      </c>
      <c r="AI1182" s="70" t="s">
        <v>13957</v>
      </c>
      <c r="AJ1182" s="17" t="s">
        <v>13958</v>
      </c>
      <c r="AK1182" s="17" t="s">
        <v>95</v>
      </c>
      <c r="AL1182" s="17" t="s">
        <v>13959</v>
      </c>
      <c r="AM1182" s="17" t="s">
        <v>825</v>
      </c>
      <c r="AN1182" s="17" t="s">
        <v>86</v>
      </c>
      <c r="AO1182" s="17" t="s">
        <v>13960</v>
      </c>
      <c r="AP1182" s="17" t="s">
        <v>13961</v>
      </c>
      <c r="AQ1182" s="17" t="s">
        <v>13962</v>
      </c>
      <c r="AR1182" s="17" t="s">
        <v>13963</v>
      </c>
      <c r="AS1182" s="17" t="s">
        <v>13964</v>
      </c>
      <c r="AT1182" s="17">
        <v>256</v>
      </c>
      <c r="AU1182" s="30" t="s">
        <v>13965</v>
      </c>
      <c r="AV1182" s="14">
        <v>15440</v>
      </c>
      <c r="AW1182" s="74"/>
      <c r="AX1182" s="39" t="s">
        <v>13966</v>
      </c>
      <c r="AY1182" s="17" t="s">
        <v>101</v>
      </c>
    </row>
    <row r="1183" spans="1:51" ht="12.75" customHeight="1" x14ac:dyDescent="0.25">
      <c r="A1183" s="5">
        <v>1126</v>
      </c>
      <c r="B1183" s="9">
        <v>1126</v>
      </c>
      <c r="C1183" s="9" t="s">
        <v>13967</v>
      </c>
      <c r="D1183" s="57" t="str">
        <f>HYPERLINK("http://prodenv.dep.state.fl.us/DepNexus/public/electronic-documents/OG_1126/facility!search","OG_1126_Docs")</f>
        <v>OG_1126_Docs</v>
      </c>
      <c r="E1183" s="57" t="str">
        <f>HYPERLINK("https://ca.dep.state.fl.us/mapdirect/?focus=oilandgas&amp;zoom=query&amp;querytype=oilandgas&amp;queryvalues=OG_1126","OG_1126_Map")</f>
        <v>OG_1126_Map</v>
      </c>
      <c r="F1183" s="1" t="s">
        <v>1797</v>
      </c>
      <c r="G1183" s="1" t="s">
        <v>79</v>
      </c>
      <c r="H1183" s="1" t="s">
        <v>13968</v>
      </c>
      <c r="I1183" s="1" t="s">
        <v>13969</v>
      </c>
      <c r="J1183" s="17" t="s">
        <v>207</v>
      </c>
      <c r="K1183" s="17" t="s">
        <v>208</v>
      </c>
      <c r="L1183" s="17"/>
      <c r="M1183" s="17" t="s">
        <v>207</v>
      </c>
      <c r="N1183" s="52" t="s">
        <v>207</v>
      </c>
      <c r="O1183" s="17" t="s">
        <v>86</v>
      </c>
      <c r="P1183" s="17" t="s">
        <v>86</v>
      </c>
      <c r="Q1183" s="81" t="s">
        <v>13970</v>
      </c>
      <c r="R1183" s="11">
        <v>30.837873999999999</v>
      </c>
      <c r="S1183" s="11">
        <v>-87.062406999999993</v>
      </c>
      <c r="T1183" s="11" t="s">
        <v>13971</v>
      </c>
      <c r="U1183" s="11" t="s">
        <v>13972</v>
      </c>
      <c r="V1183" s="17" t="s">
        <v>13973</v>
      </c>
      <c r="W1183" s="17"/>
      <c r="X1183" s="70"/>
      <c r="Y1183" s="70"/>
      <c r="Z1183" s="13">
        <v>30624</v>
      </c>
      <c r="AA1183" s="13"/>
      <c r="AB1183" s="13"/>
      <c r="AC1183" s="13"/>
      <c r="AD1183" s="86"/>
      <c r="AE1183" s="70"/>
      <c r="AF1183" s="70" t="s">
        <v>207</v>
      </c>
      <c r="AG1183" s="14" t="s">
        <v>207</v>
      </c>
      <c r="AH1183" s="14" t="s">
        <v>207</v>
      </c>
      <c r="AI1183" s="70" t="s">
        <v>207</v>
      </c>
      <c r="AJ1183" s="14" t="s">
        <v>207</v>
      </c>
      <c r="AK1183" s="14" t="s">
        <v>207</v>
      </c>
      <c r="AL1183" s="14" t="s">
        <v>207</v>
      </c>
      <c r="AM1183" s="14" t="s">
        <v>207</v>
      </c>
      <c r="AN1183" s="14" t="s">
        <v>207</v>
      </c>
      <c r="AO1183" s="14" t="s">
        <v>207</v>
      </c>
      <c r="AP1183" s="14" t="s">
        <v>207</v>
      </c>
      <c r="AQ1183" s="14" t="s">
        <v>207</v>
      </c>
      <c r="AR1183" s="14" t="s">
        <v>207</v>
      </c>
      <c r="AS1183" s="14" t="s">
        <v>207</v>
      </c>
      <c r="AT1183" s="14" t="s">
        <v>207</v>
      </c>
      <c r="AU1183" s="30" t="s">
        <v>1843</v>
      </c>
      <c r="AV1183" s="14" t="s">
        <v>207</v>
      </c>
      <c r="AW1183" s="74"/>
      <c r="AX1183" s="1"/>
      <c r="AY1183" s="17" t="s">
        <v>101</v>
      </c>
    </row>
    <row r="1184" spans="1:51" ht="15" customHeight="1" x14ac:dyDescent="0.25">
      <c r="A1184" s="5">
        <v>1127</v>
      </c>
      <c r="B1184" s="9">
        <v>1127</v>
      </c>
      <c r="C1184" s="9" t="s">
        <v>13974</v>
      </c>
      <c r="D1184" s="57" t="str">
        <f>HYPERLINK("http://prodenv.dep.state.fl.us/DepNexus/public/electronic-documents/OG_1127/facility!search","OG_1127_Docs")</f>
        <v>OG_1127_Docs</v>
      </c>
      <c r="E1184" s="57" t="str">
        <f>HYPERLINK("https://ca.dep.state.fl.us/mapdirect/?focus=oilandgas&amp;zoom=query&amp;querytype=oilandgas&amp;queryvalues=OG_1127","OG_1127_Map")</f>
        <v>OG_1127_Map</v>
      </c>
      <c r="F1184" s="1" t="s">
        <v>265</v>
      </c>
      <c r="G1184" s="1" t="s">
        <v>79</v>
      </c>
      <c r="H1184" s="1" t="s">
        <v>13975</v>
      </c>
      <c r="I1184" s="1" t="s">
        <v>13976</v>
      </c>
      <c r="J1184" s="17" t="s">
        <v>82</v>
      </c>
      <c r="K1184" s="17" t="s">
        <v>83</v>
      </c>
      <c r="L1184" s="17"/>
      <c r="M1184" s="17" t="s">
        <v>101</v>
      </c>
      <c r="N1184" s="52" t="s">
        <v>13977</v>
      </c>
      <c r="O1184" s="17" t="s">
        <v>270</v>
      </c>
      <c r="P1184" s="17" t="s">
        <v>86</v>
      </c>
      <c r="Q1184" s="81" t="s">
        <v>305</v>
      </c>
      <c r="R1184" s="11">
        <v>26.358979000000001</v>
      </c>
      <c r="S1184" s="11">
        <v>-81.418548999999999</v>
      </c>
      <c r="T1184" s="11" t="s">
        <v>13978</v>
      </c>
      <c r="U1184" s="11" t="s">
        <v>13979</v>
      </c>
      <c r="V1184" s="17" t="s">
        <v>13980</v>
      </c>
      <c r="W1184" s="17"/>
      <c r="X1184" s="70">
        <v>44</v>
      </c>
      <c r="Y1184" s="70">
        <v>23.4</v>
      </c>
      <c r="Z1184" s="13">
        <v>30663</v>
      </c>
      <c r="AA1184" s="13">
        <v>30681</v>
      </c>
      <c r="AB1184" s="13"/>
      <c r="AC1184" s="13">
        <v>30714</v>
      </c>
      <c r="AD1184" s="86">
        <v>11999</v>
      </c>
      <c r="AE1184" s="86">
        <v>11999</v>
      </c>
      <c r="AF1184" s="71" t="s">
        <v>13981</v>
      </c>
      <c r="AG1184" s="17" t="s">
        <v>13982</v>
      </c>
      <c r="AH1184" s="17" t="s">
        <v>13983</v>
      </c>
      <c r="AI1184" s="70" t="s">
        <v>86</v>
      </c>
      <c r="AJ1184" s="17" t="s">
        <v>94</v>
      </c>
      <c r="AK1184" s="17" t="s">
        <v>95</v>
      </c>
      <c r="AL1184" s="17"/>
      <c r="AM1184" s="17"/>
      <c r="AN1184" s="17" t="s">
        <v>94</v>
      </c>
      <c r="AO1184" s="17" t="s">
        <v>94</v>
      </c>
      <c r="AP1184" s="17" t="s">
        <v>94</v>
      </c>
      <c r="AQ1184" s="17" t="s">
        <v>94</v>
      </c>
      <c r="AR1184" s="17" t="s">
        <v>94</v>
      </c>
      <c r="AS1184" s="17" t="s">
        <v>13984</v>
      </c>
      <c r="AT1184" s="17">
        <v>169</v>
      </c>
      <c r="AU1184" s="30" t="s">
        <v>13985</v>
      </c>
      <c r="AV1184" s="14">
        <v>15491</v>
      </c>
      <c r="AW1184" s="74"/>
      <c r="AX1184" s="1"/>
      <c r="AY1184" s="17" t="s">
        <v>101</v>
      </c>
    </row>
    <row r="1185" spans="1:51" ht="12.75" customHeight="1" x14ac:dyDescent="0.25">
      <c r="A1185" s="5">
        <v>1128</v>
      </c>
      <c r="B1185" s="9">
        <v>1128</v>
      </c>
      <c r="C1185" s="9" t="s">
        <v>13986</v>
      </c>
      <c r="D1185" s="57" t="str">
        <f>HYPERLINK("http://prodenv.dep.state.fl.us/DepNexus/public/electronic-documents/OG_1128/facility!search","OG_1128_Docs")</f>
        <v>OG_1128_Docs</v>
      </c>
      <c r="E1185" s="57" t="str">
        <f>HYPERLINK("https://ca.dep.state.fl.us/mapdirect/?focus=oilandgas&amp;zoom=query&amp;querytype=oilandgas&amp;queryvalues=OG_1128","OG_1128_Map")</f>
        <v>OG_1128_Map</v>
      </c>
      <c r="F1185" s="1" t="s">
        <v>1797</v>
      </c>
      <c r="G1185" s="1" t="s">
        <v>79</v>
      </c>
      <c r="H1185" s="1" t="s">
        <v>13987</v>
      </c>
      <c r="I1185" s="1" t="s">
        <v>13988</v>
      </c>
      <c r="J1185" s="17" t="s">
        <v>82</v>
      </c>
      <c r="K1185" s="17" t="s">
        <v>83</v>
      </c>
      <c r="L1185" s="17"/>
      <c r="M1185" s="17"/>
      <c r="N1185" s="52" t="s">
        <v>13989</v>
      </c>
      <c r="O1185" s="17" t="s">
        <v>86</v>
      </c>
      <c r="P1185" s="17" t="s">
        <v>86</v>
      </c>
      <c r="Q1185" s="81" t="s">
        <v>13990</v>
      </c>
      <c r="R1185" s="11">
        <v>30.787386000000001</v>
      </c>
      <c r="S1185" s="11">
        <v>-87.063879999999997</v>
      </c>
      <c r="T1185" s="11" t="s">
        <v>13991</v>
      </c>
      <c r="U1185" s="11" t="s">
        <v>13992</v>
      </c>
      <c r="V1185" s="17" t="s">
        <v>13993</v>
      </c>
      <c r="W1185" s="17" t="s">
        <v>13993</v>
      </c>
      <c r="X1185" s="70">
        <v>205.5</v>
      </c>
      <c r="Y1185" s="70">
        <v>180</v>
      </c>
      <c r="Z1185" s="13">
        <v>30641</v>
      </c>
      <c r="AA1185" s="13">
        <v>30678</v>
      </c>
      <c r="AB1185" s="13"/>
      <c r="AC1185" s="13">
        <v>30932</v>
      </c>
      <c r="AD1185" s="86">
        <v>16640</v>
      </c>
      <c r="AE1185" s="86">
        <v>16640</v>
      </c>
      <c r="AF1185" s="70"/>
      <c r="AG1185" s="17" t="s">
        <v>13994</v>
      </c>
      <c r="AH1185" s="17"/>
      <c r="AI1185" s="70" t="s">
        <v>13995</v>
      </c>
      <c r="AJ1185" s="17"/>
      <c r="AK1185" s="17"/>
      <c r="AL1185" s="17" t="s">
        <v>13996</v>
      </c>
      <c r="AM1185" s="17" t="s">
        <v>95</v>
      </c>
      <c r="AN1185" s="17"/>
      <c r="AO1185" s="17"/>
      <c r="AP1185" s="17"/>
      <c r="AQ1185" s="17"/>
      <c r="AR1185" s="17" t="s">
        <v>13997</v>
      </c>
      <c r="AS1185" s="17" t="s">
        <v>13998</v>
      </c>
      <c r="AT1185" s="17"/>
      <c r="AU1185" s="30" t="s">
        <v>13999</v>
      </c>
      <c r="AV1185" s="14">
        <v>15827</v>
      </c>
      <c r="AW1185" s="74"/>
      <c r="AX1185" s="1"/>
      <c r="AY1185" s="17" t="s">
        <v>101</v>
      </c>
    </row>
    <row r="1186" spans="1:51" ht="12.75" customHeight="1" x14ac:dyDescent="0.25">
      <c r="A1186" s="5">
        <v>1129</v>
      </c>
      <c r="B1186" s="9">
        <v>1129</v>
      </c>
      <c r="C1186" s="9" t="s">
        <v>14000</v>
      </c>
      <c r="D1186" s="57" t="str">
        <f>HYPERLINK("http://prodenv.dep.state.fl.us/DepNexus/public/electronic-documents/OG_1129/facility!search","OG_1129_Docs")</f>
        <v>OG_1129_Docs</v>
      </c>
      <c r="E1186" s="57" t="str">
        <f>HYPERLINK("https://ca.dep.state.fl.us/mapdirect/?focus=oilandgas&amp;zoom=query&amp;querytype=oilandgas&amp;queryvalues=OG_1129","OG_1129_Map")</f>
        <v>OG_1129_Map</v>
      </c>
      <c r="F1186" s="1" t="s">
        <v>215</v>
      </c>
      <c r="G1186" s="1" t="s">
        <v>79</v>
      </c>
      <c r="H1186" s="1" t="s">
        <v>8093</v>
      </c>
      <c r="I1186" s="1" t="s">
        <v>14001</v>
      </c>
      <c r="J1186" s="17" t="s">
        <v>82</v>
      </c>
      <c r="K1186" s="17" t="s">
        <v>83</v>
      </c>
      <c r="L1186" s="17"/>
      <c r="M1186" s="17" t="s">
        <v>84</v>
      </c>
      <c r="N1186" s="52" t="s">
        <v>9659</v>
      </c>
      <c r="O1186" s="17" t="s">
        <v>86</v>
      </c>
      <c r="P1186" s="17" t="s">
        <v>86</v>
      </c>
      <c r="Q1186" s="81" t="s">
        <v>14002</v>
      </c>
      <c r="R1186" s="11">
        <v>29.731311000000002</v>
      </c>
      <c r="S1186" s="11">
        <v>-83.239532999999994</v>
      </c>
      <c r="T1186" s="11" t="s">
        <v>14003</v>
      </c>
      <c r="U1186" s="11" t="s">
        <v>14004</v>
      </c>
      <c r="V1186" s="17" t="s">
        <v>14005</v>
      </c>
      <c r="W1186" s="17" t="s">
        <v>110</v>
      </c>
      <c r="X1186" s="70">
        <v>7</v>
      </c>
      <c r="Y1186" s="70"/>
      <c r="Z1186" s="13">
        <v>30634</v>
      </c>
      <c r="AA1186" s="13">
        <v>30655</v>
      </c>
      <c r="AB1186" s="13">
        <v>30736</v>
      </c>
      <c r="AC1186" s="13">
        <v>30736</v>
      </c>
      <c r="AD1186" s="86">
        <v>9075</v>
      </c>
      <c r="AE1186" s="86">
        <v>9075</v>
      </c>
      <c r="AF1186" s="70" t="s">
        <v>14006</v>
      </c>
      <c r="AG1186" s="17" t="s">
        <v>14007</v>
      </c>
      <c r="AH1186" s="17" t="s">
        <v>94</v>
      </c>
      <c r="AI1186" s="70" t="s">
        <v>94</v>
      </c>
      <c r="AJ1186" s="17" t="s">
        <v>94</v>
      </c>
      <c r="AK1186" s="17" t="s">
        <v>95</v>
      </c>
      <c r="AL1186" s="17" t="s">
        <v>86</v>
      </c>
      <c r="AM1186" s="17" t="s">
        <v>94</v>
      </c>
      <c r="AN1186" s="17" t="s">
        <v>86</v>
      </c>
      <c r="AO1186" s="17" t="s">
        <v>98</v>
      </c>
      <c r="AP1186" s="17" t="s">
        <v>98</v>
      </c>
      <c r="AQ1186" s="17" t="s">
        <v>98</v>
      </c>
      <c r="AR1186" s="17" t="s">
        <v>94</v>
      </c>
      <c r="AS1186" s="17" t="s">
        <v>14008</v>
      </c>
      <c r="AT1186" s="17">
        <v>89</v>
      </c>
      <c r="AU1186" s="30" t="s">
        <v>14009</v>
      </c>
      <c r="AV1186" s="14">
        <v>15489</v>
      </c>
      <c r="AW1186" s="74"/>
      <c r="AX1186" s="1"/>
      <c r="AY1186" s="17" t="s">
        <v>101</v>
      </c>
    </row>
    <row r="1187" spans="1:51" ht="12.75" customHeight="1" x14ac:dyDescent="0.25">
      <c r="A1187" s="5">
        <v>1130</v>
      </c>
      <c r="B1187" s="9">
        <v>1130</v>
      </c>
      <c r="C1187" s="9" t="s">
        <v>14010</v>
      </c>
      <c r="D1187" s="57" t="str">
        <f>HYPERLINK("http://prodenv.dep.state.fl.us/DepNexus/public/electronic-documents/OG_1130/facility!search","OG_1130_Docs")</f>
        <v>OG_1130_Docs</v>
      </c>
      <c r="E1187" s="57" t="str">
        <f>HYPERLINK("https://ca.dep.state.fl.us/mapdirect/?focus=oilandgas&amp;zoom=query&amp;querytype=oilandgas&amp;queryvalues=OG_1130","OG_1130_Map")</f>
        <v>OG_1130_Map</v>
      </c>
      <c r="F1187" s="1" t="s">
        <v>265</v>
      </c>
      <c r="G1187" s="1" t="s">
        <v>10452</v>
      </c>
      <c r="H1187" s="1" t="s">
        <v>1363</v>
      </c>
      <c r="I1187" s="1" t="s">
        <v>14011</v>
      </c>
      <c r="J1187" s="17" t="s">
        <v>5107</v>
      </c>
      <c r="K1187" s="17" t="s">
        <v>412</v>
      </c>
      <c r="L1187" s="17"/>
      <c r="M1187" s="17" t="s">
        <v>101</v>
      </c>
      <c r="N1187" s="52" t="s">
        <v>4735</v>
      </c>
      <c r="O1187" s="17" t="s">
        <v>270</v>
      </c>
      <c r="P1187" s="17" t="s">
        <v>3395</v>
      </c>
      <c r="Q1187" s="81" t="s">
        <v>14012</v>
      </c>
      <c r="R1187" s="11">
        <v>25.983740999999998</v>
      </c>
      <c r="S1187" s="11">
        <v>-80.900694000000001</v>
      </c>
      <c r="T1187" s="11" t="s">
        <v>14013</v>
      </c>
      <c r="U1187" s="11" t="s">
        <v>14014</v>
      </c>
      <c r="V1187" s="17" t="s">
        <v>14015</v>
      </c>
      <c r="W1187" s="17" t="s">
        <v>14016</v>
      </c>
      <c r="X1187" s="70">
        <v>33</v>
      </c>
      <c r="Y1187" s="70">
        <v>12</v>
      </c>
      <c r="Z1187" s="13">
        <v>30734</v>
      </c>
      <c r="AA1187" s="13">
        <v>30845</v>
      </c>
      <c r="AB1187" s="13">
        <v>30938</v>
      </c>
      <c r="AC1187" s="13">
        <v>36091</v>
      </c>
      <c r="AD1187" s="86">
        <v>11479</v>
      </c>
      <c r="AE1187" s="86">
        <v>13258</v>
      </c>
      <c r="AF1187" s="70" t="s">
        <v>10666</v>
      </c>
      <c r="AG1187" s="14" t="s">
        <v>14017</v>
      </c>
      <c r="AH1187" s="17" t="s">
        <v>14018</v>
      </c>
      <c r="AI1187" s="70" t="s">
        <v>14019</v>
      </c>
      <c r="AJ1187" s="17" t="s">
        <v>14020</v>
      </c>
      <c r="AK1187" s="17" t="s">
        <v>94</v>
      </c>
      <c r="AL1187" s="17" t="s">
        <v>14021</v>
      </c>
      <c r="AM1187" s="17" t="s">
        <v>95</v>
      </c>
      <c r="AN1187" s="17"/>
      <c r="AO1187" s="17" t="s">
        <v>14022</v>
      </c>
      <c r="AP1187" s="17" t="s">
        <v>6135</v>
      </c>
      <c r="AQ1187" s="17" t="s">
        <v>14023</v>
      </c>
      <c r="AR1187" s="17" t="s">
        <v>14024</v>
      </c>
      <c r="AS1187" s="17" t="s">
        <v>14025</v>
      </c>
      <c r="AT1187" s="17">
        <v>176</v>
      </c>
      <c r="AU1187" s="30" t="s">
        <v>14026</v>
      </c>
      <c r="AV1187" s="14">
        <v>15703</v>
      </c>
      <c r="AW1187" s="74">
        <v>306475</v>
      </c>
      <c r="AX1187" s="1"/>
      <c r="AY1187" s="17" t="s">
        <v>101</v>
      </c>
    </row>
    <row r="1188" spans="1:51" ht="12.75" customHeight="1" x14ac:dyDescent="0.25">
      <c r="A1188" s="5">
        <v>1131</v>
      </c>
      <c r="B1188" s="9">
        <v>1131</v>
      </c>
      <c r="C1188" s="9" t="s">
        <v>14027</v>
      </c>
      <c r="D1188" s="57" t="str">
        <f>HYPERLINK("http://prodenv.dep.state.fl.us/DepNexus/public/electronic-documents/OG_1131/facility!search","OG_1131_Docs")</f>
        <v>OG_1131_Docs</v>
      </c>
      <c r="E1188" s="57" t="str">
        <f>HYPERLINK("https://ca.dep.state.fl.us/mapdirect/?focus=oilandgas&amp;zoom=query&amp;querytype=oilandgas&amp;queryvalues=OG_1131","OG_1131_Map")</f>
        <v>OG_1131_Map</v>
      </c>
      <c r="F1188" s="1" t="s">
        <v>2026</v>
      </c>
      <c r="G1188" s="1" t="s">
        <v>4496</v>
      </c>
      <c r="H1188" s="1" t="s">
        <v>8261</v>
      </c>
      <c r="I1188" s="1" t="s">
        <v>14028</v>
      </c>
      <c r="J1188" s="17" t="s">
        <v>82</v>
      </c>
      <c r="K1188" s="17" t="s">
        <v>83</v>
      </c>
      <c r="L1188" s="17"/>
      <c r="M1188" s="17" t="s">
        <v>101</v>
      </c>
      <c r="N1188" s="52" t="s">
        <v>9222</v>
      </c>
      <c r="O1188" s="17" t="s">
        <v>86</v>
      </c>
      <c r="P1188" s="17" t="s">
        <v>86</v>
      </c>
      <c r="Q1188" s="81" t="s">
        <v>12044</v>
      </c>
      <c r="R1188" s="11">
        <v>26.564132000000001</v>
      </c>
      <c r="S1188" s="11">
        <v>-81.567571000000001</v>
      </c>
      <c r="T1188" s="11" t="s">
        <v>14029</v>
      </c>
      <c r="U1188" s="11" t="s">
        <v>14030</v>
      </c>
      <c r="V1188" s="17" t="s">
        <v>14031</v>
      </c>
      <c r="W1188" s="17" t="s">
        <v>14032</v>
      </c>
      <c r="X1188" s="70">
        <v>52</v>
      </c>
      <c r="Y1188" s="70">
        <v>30</v>
      </c>
      <c r="Z1188" s="13">
        <v>30722</v>
      </c>
      <c r="AA1188" s="13">
        <v>30963</v>
      </c>
      <c r="AB1188" s="13"/>
      <c r="AC1188" s="13">
        <v>30820</v>
      </c>
      <c r="AD1188" s="86">
        <v>11523</v>
      </c>
      <c r="AE1188" s="86">
        <v>11802</v>
      </c>
      <c r="AF1188" s="70" t="s">
        <v>14033</v>
      </c>
      <c r="AG1188" s="17" t="s">
        <v>14034</v>
      </c>
      <c r="AH1188" s="17" t="s">
        <v>14035</v>
      </c>
      <c r="AI1188" s="70" t="s">
        <v>94</v>
      </c>
      <c r="AJ1188" s="17" t="s">
        <v>94</v>
      </c>
      <c r="AK1188" s="17" t="s">
        <v>95</v>
      </c>
      <c r="AL1188" s="17" t="s">
        <v>14036</v>
      </c>
      <c r="AM1188" s="17" t="s">
        <v>825</v>
      </c>
      <c r="AN1188" s="17"/>
      <c r="AO1188" s="17"/>
      <c r="AP1188" s="17"/>
      <c r="AQ1188" s="17"/>
      <c r="AR1188" s="17"/>
      <c r="AS1188" s="17" t="s">
        <v>14037</v>
      </c>
      <c r="AT1188" s="17">
        <v>185</v>
      </c>
      <c r="AU1188" s="30" t="s">
        <v>14038</v>
      </c>
      <c r="AV1188" s="14">
        <v>15559</v>
      </c>
      <c r="AW1188" s="74"/>
      <c r="AX1188" s="1"/>
      <c r="AY1188" s="17" t="s">
        <v>101</v>
      </c>
    </row>
    <row r="1189" spans="1:51" ht="15" customHeight="1" x14ac:dyDescent="0.25">
      <c r="A1189" s="5">
        <v>1132</v>
      </c>
      <c r="B1189" s="9">
        <v>1132</v>
      </c>
      <c r="C1189" s="9" t="s">
        <v>14039</v>
      </c>
      <c r="D1189" s="57" t="str">
        <f>HYPERLINK("http://prodenv.dep.state.fl.us/DepNexus/public/electronic-documents/OG_1132/facility!search","OG_1132_Docs")</f>
        <v>OG_1132_Docs</v>
      </c>
      <c r="E1189" s="57" t="str">
        <f>HYPERLINK("https://ca.dep.state.fl.us/mapdirect/?focus=oilandgas&amp;zoom=query&amp;querytype=oilandgas&amp;queryvalues=OG_1132","OG_1132_Map")</f>
        <v>OG_1132_Map</v>
      </c>
      <c r="F1189" s="1" t="s">
        <v>2026</v>
      </c>
      <c r="G1189" s="1" t="s">
        <v>4496</v>
      </c>
      <c r="H1189" s="1" t="s">
        <v>8318</v>
      </c>
      <c r="I1189" s="1" t="s">
        <v>14040</v>
      </c>
      <c r="J1189" s="17" t="s">
        <v>268</v>
      </c>
      <c r="K1189" s="17" t="s">
        <v>412</v>
      </c>
      <c r="L1189" s="17"/>
      <c r="M1189" s="17" t="s">
        <v>101</v>
      </c>
      <c r="N1189" s="52" t="s">
        <v>4735</v>
      </c>
      <c r="O1189" s="17" t="s">
        <v>86</v>
      </c>
      <c r="P1189" s="17" t="s">
        <v>86</v>
      </c>
      <c r="Q1189" s="81" t="s">
        <v>9141</v>
      </c>
      <c r="R1189" s="11">
        <v>26.564132000000001</v>
      </c>
      <c r="S1189" s="11">
        <v>-81.567571000000001</v>
      </c>
      <c r="T1189" s="11" t="s">
        <v>14029</v>
      </c>
      <c r="U1189" s="11" t="s">
        <v>14030</v>
      </c>
      <c r="V1189" s="17" t="s">
        <v>14031</v>
      </c>
      <c r="W1189" s="17" t="s">
        <v>14041</v>
      </c>
      <c r="X1189" s="70">
        <v>52</v>
      </c>
      <c r="Y1189" s="70">
        <v>30</v>
      </c>
      <c r="Z1189" s="13">
        <v>30823</v>
      </c>
      <c r="AA1189" s="13">
        <v>30825</v>
      </c>
      <c r="AB1189" s="13">
        <v>30925</v>
      </c>
      <c r="AC1189" s="13">
        <v>38008</v>
      </c>
      <c r="AD1189" s="86">
        <v>11487</v>
      </c>
      <c r="AE1189" s="86">
        <v>12495</v>
      </c>
      <c r="AF1189" s="70" t="s">
        <v>13896</v>
      </c>
      <c r="AG1189" s="17" t="s">
        <v>14042</v>
      </c>
      <c r="AH1189" s="17" t="s">
        <v>4600</v>
      </c>
      <c r="AI1189" s="70" t="s">
        <v>14043</v>
      </c>
      <c r="AJ1189" s="17" t="s">
        <v>10769</v>
      </c>
      <c r="AK1189" s="17" t="s">
        <v>95</v>
      </c>
      <c r="AL1189" s="17" t="s">
        <v>14044</v>
      </c>
      <c r="AM1189" s="17" t="s">
        <v>825</v>
      </c>
      <c r="AN1189" s="17" t="s">
        <v>86</v>
      </c>
      <c r="AO1189" s="17" t="s">
        <v>14045</v>
      </c>
      <c r="AP1189" s="17" t="s">
        <v>5061</v>
      </c>
      <c r="AQ1189" s="17" t="s">
        <v>14046</v>
      </c>
      <c r="AR1189" s="17" t="s">
        <v>14047</v>
      </c>
      <c r="AS1189" s="17" t="s">
        <v>14048</v>
      </c>
      <c r="AT1189" s="17">
        <v>184</v>
      </c>
      <c r="AU1189" s="30" t="s">
        <v>14049</v>
      </c>
      <c r="AV1189" s="14">
        <v>15560</v>
      </c>
      <c r="AW1189" s="74"/>
      <c r="AX1189" s="1"/>
      <c r="AY1189" s="17" t="s">
        <v>101</v>
      </c>
    </row>
    <row r="1190" spans="1:51" ht="12.75" customHeight="1" x14ac:dyDescent="0.25">
      <c r="A1190" s="5">
        <v>1133</v>
      </c>
      <c r="B1190" s="9">
        <v>1133</v>
      </c>
      <c r="C1190" s="9" t="s">
        <v>14050</v>
      </c>
      <c r="D1190" s="57" t="str">
        <f>HYPERLINK("http://prodenv.dep.state.fl.us/DepNexus/public/electronic-documents/OG_1133/facility!search","OG_1133_Docs")</f>
        <v>OG_1133_Docs</v>
      </c>
      <c r="E1190" s="57" t="str">
        <f>HYPERLINK("https://ca.dep.state.fl.us/mapdirect/?focus=oilandgas&amp;zoom=query&amp;querytype=oilandgas&amp;queryvalues=OG_1133","OG_1133_Map")</f>
        <v>OG_1133_Map</v>
      </c>
      <c r="F1190" s="1" t="s">
        <v>265</v>
      </c>
      <c r="G1190" s="1" t="s">
        <v>79</v>
      </c>
      <c r="H1190" s="1" t="s">
        <v>8261</v>
      </c>
      <c r="I1190" s="1" t="s">
        <v>14051</v>
      </c>
      <c r="J1190" s="17" t="s">
        <v>207</v>
      </c>
      <c r="K1190" s="17" t="s">
        <v>208</v>
      </c>
      <c r="L1190" s="17"/>
      <c r="M1190" s="17" t="s">
        <v>207</v>
      </c>
      <c r="N1190" s="52" t="s">
        <v>207</v>
      </c>
      <c r="O1190" s="17" t="s">
        <v>270</v>
      </c>
      <c r="P1190" s="17" t="s">
        <v>86</v>
      </c>
      <c r="Q1190" s="81" t="s">
        <v>14052</v>
      </c>
      <c r="R1190" s="11">
        <v>26.385871000000002</v>
      </c>
      <c r="S1190" s="11">
        <v>-81.453991000000002</v>
      </c>
      <c r="T1190" s="11" t="s">
        <v>14053</v>
      </c>
      <c r="U1190" s="11" t="s">
        <v>14054</v>
      </c>
      <c r="V1190" s="17" t="s">
        <v>14055</v>
      </c>
      <c r="W1190" s="17"/>
      <c r="X1190" s="70"/>
      <c r="Y1190" s="70"/>
      <c r="Z1190" s="13">
        <v>30778</v>
      </c>
      <c r="AA1190" s="13"/>
      <c r="AB1190" s="13"/>
      <c r="AC1190" s="13"/>
      <c r="AD1190" s="86"/>
      <c r="AE1190" s="86"/>
      <c r="AF1190" s="70" t="s">
        <v>207</v>
      </c>
      <c r="AG1190" s="14" t="s">
        <v>207</v>
      </c>
      <c r="AH1190" s="14" t="s">
        <v>207</v>
      </c>
      <c r="AI1190" s="70" t="s">
        <v>207</v>
      </c>
      <c r="AJ1190" s="14" t="s">
        <v>207</v>
      </c>
      <c r="AK1190" s="14" t="s">
        <v>207</v>
      </c>
      <c r="AL1190" s="14" t="s">
        <v>207</v>
      </c>
      <c r="AM1190" s="14" t="s">
        <v>207</v>
      </c>
      <c r="AN1190" s="14" t="s">
        <v>207</v>
      </c>
      <c r="AO1190" s="14" t="s">
        <v>207</v>
      </c>
      <c r="AP1190" s="14" t="s">
        <v>207</v>
      </c>
      <c r="AQ1190" s="14" t="s">
        <v>207</v>
      </c>
      <c r="AR1190" s="14" t="s">
        <v>207</v>
      </c>
      <c r="AS1190" s="14" t="s">
        <v>207</v>
      </c>
      <c r="AT1190" s="14" t="s">
        <v>207</v>
      </c>
      <c r="AU1190" s="30" t="s">
        <v>1843</v>
      </c>
      <c r="AV1190" s="14" t="s">
        <v>207</v>
      </c>
      <c r="AW1190" s="74"/>
      <c r="AX1190" s="1"/>
      <c r="AY1190" s="17" t="s">
        <v>101</v>
      </c>
    </row>
    <row r="1191" spans="1:51" ht="15" customHeight="1" x14ac:dyDescent="0.25">
      <c r="A1191" s="5">
        <v>1134</v>
      </c>
      <c r="B1191" s="9">
        <v>1134</v>
      </c>
      <c r="C1191" s="9" t="s">
        <v>14056</v>
      </c>
      <c r="D1191" s="57" t="str">
        <f>HYPERLINK("http://prodenv.dep.state.fl.us/DepNexus/public/electronic-documents/OG_1134/facility!search","OG_1134_Docs")</f>
        <v>OG_1134_Docs</v>
      </c>
      <c r="E1191" s="57" t="str">
        <f>HYPERLINK("https://ca.dep.state.fl.us/mapdirect/?focus=oilandgas&amp;zoom=query&amp;querytype=oilandgas&amp;queryvalues=OG_1134","OG_1134_Map")</f>
        <v>OG_1134_Map</v>
      </c>
      <c r="F1191" s="1" t="s">
        <v>265</v>
      </c>
      <c r="G1191" s="1" t="s">
        <v>79</v>
      </c>
      <c r="H1191" s="1" t="s">
        <v>8261</v>
      </c>
      <c r="I1191" s="1" t="s">
        <v>14057</v>
      </c>
      <c r="J1191" s="17" t="s">
        <v>82</v>
      </c>
      <c r="K1191" s="17" t="s">
        <v>83</v>
      </c>
      <c r="L1191" s="17"/>
      <c r="M1191" s="17" t="s">
        <v>101</v>
      </c>
      <c r="N1191" s="52" t="s">
        <v>7568</v>
      </c>
      <c r="O1191" s="17" t="s">
        <v>270</v>
      </c>
      <c r="P1191" s="17" t="s">
        <v>86</v>
      </c>
      <c r="Q1191" s="81" t="s">
        <v>14058</v>
      </c>
      <c r="R1191" s="11">
        <v>26.380566999999999</v>
      </c>
      <c r="S1191" s="11">
        <v>-81.444557000000003</v>
      </c>
      <c r="T1191" s="11" t="s">
        <v>14059</v>
      </c>
      <c r="U1191" s="11" t="s">
        <v>14060</v>
      </c>
      <c r="V1191" s="17" t="s">
        <v>14061</v>
      </c>
      <c r="W1191" s="17"/>
      <c r="X1191" s="70"/>
      <c r="Y1191" s="70"/>
      <c r="Z1191" s="13">
        <v>30777</v>
      </c>
      <c r="AA1191" s="13">
        <v>30806</v>
      </c>
      <c r="AB1191" s="13"/>
      <c r="AC1191" s="13">
        <v>30837</v>
      </c>
      <c r="AD1191" s="86">
        <v>12029</v>
      </c>
      <c r="AE1191" s="86">
        <v>12030</v>
      </c>
      <c r="AF1191" s="70" t="s">
        <v>14062</v>
      </c>
      <c r="AG1191" s="17" t="s">
        <v>14063</v>
      </c>
      <c r="AH1191" s="17" t="s">
        <v>14064</v>
      </c>
      <c r="AI1191" s="70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 t="s">
        <v>14065</v>
      </c>
      <c r="AT1191" s="17">
        <v>176</v>
      </c>
      <c r="AU1191" s="30" t="s">
        <v>14066</v>
      </c>
      <c r="AV1191" s="14">
        <v>15553</v>
      </c>
      <c r="AW1191" s="74"/>
      <c r="AX1191" s="1"/>
      <c r="AY1191" s="17" t="s">
        <v>101</v>
      </c>
    </row>
    <row r="1192" spans="1:51" ht="12.75" customHeight="1" x14ac:dyDescent="0.25">
      <c r="A1192" s="5">
        <v>1135</v>
      </c>
      <c r="B1192" s="9">
        <v>1135</v>
      </c>
      <c r="C1192" s="9" t="s">
        <v>14067</v>
      </c>
      <c r="D1192" s="57" t="str">
        <f>HYPERLINK("http://prodenv.dep.state.fl.us/DepNexus/public/electronic-documents/OG_1135/facility!search","OG_1135_Docs")</f>
        <v>OG_1135_Docs</v>
      </c>
      <c r="E1192" s="57" t="str">
        <f>HYPERLINK("https://ca.dep.state.fl.us/mapdirect/?focus=oilandgas&amp;zoom=query&amp;querytype=oilandgas&amp;queryvalues=OG_1135","OG_1135_Map")</f>
        <v>OG_1135_Map</v>
      </c>
      <c r="F1192" s="1" t="s">
        <v>2026</v>
      </c>
      <c r="G1192" s="1" t="s">
        <v>79</v>
      </c>
      <c r="H1192" s="1" t="s">
        <v>12149</v>
      </c>
      <c r="I1192" s="1" t="s">
        <v>14068</v>
      </c>
      <c r="J1192" s="17" t="s">
        <v>207</v>
      </c>
      <c r="K1192" s="17" t="s">
        <v>208</v>
      </c>
      <c r="L1192" s="17"/>
      <c r="M1192" s="17" t="s">
        <v>207</v>
      </c>
      <c r="N1192" s="52" t="s">
        <v>207</v>
      </c>
      <c r="O1192" s="17" t="s">
        <v>86</v>
      </c>
      <c r="P1192" s="17" t="s">
        <v>86</v>
      </c>
      <c r="Q1192" s="81" t="s">
        <v>14069</v>
      </c>
      <c r="R1192" s="11">
        <v>26.646314</v>
      </c>
      <c r="S1192" s="11">
        <v>-81.762602999999999</v>
      </c>
      <c r="T1192" s="11" t="s">
        <v>14070</v>
      </c>
      <c r="U1192" s="11" t="s">
        <v>14071</v>
      </c>
      <c r="V1192" s="17" t="s">
        <v>14072</v>
      </c>
      <c r="W1192" s="17"/>
      <c r="X1192" s="70"/>
      <c r="Y1192" s="70"/>
      <c r="Z1192" s="13">
        <v>30776</v>
      </c>
      <c r="AA1192" s="13"/>
      <c r="AB1192" s="13"/>
      <c r="AC1192" s="13"/>
      <c r="AD1192" s="86"/>
      <c r="AE1192" s="86"/>
      <c r="AF1192" s="70" t="s">
        <v>207</v>
      </c>
      <c r="AG1192" s="14" t="s">
        <v>207</v>
      </c>
      <c r="AH1192" s="14" t="s">
        <v>207</v>
      </c>
      <c r="AI1192" s="70" t="s">
        <v>207</v>
      </c>
      <c r="AJ1192" s="14" t="s">
        <v>207</v>
      </c>
      <c r="AK1192" s="14" t="s">
        <v>207</v>
      </c>
      <c r="AL1192" s="14" t="s">
        <v>207</v>
      </c>
      <c r="AM1192" s="14" t="s">
        <v>207</v>
      </c>
      <c r="AN1192" s="14" t="s">
        <v>207</v>
      </c>
      <c r="AO1192" s="14" t="s">
        <v>207</v>
      </c>
      <c r="AP1192" s="14" t="s">
        <v>207</v>
      </c>
      <c r="AQ1192" s="14" t="s">
        <v>207</v>
      </c>
      <c r="AR1192" s="14" t="s">
        <v>207</v>
      </c>
      <c r="AS1192" s="14" t="s">
        <v>207</v>
      </c>
      <c r="AT1192" s="14" t="s">
        <v>207</v>
      </c>
      <c r="AU1192" s="30" t="s">
        <v>1843</v>
      </c>
      <c r="AV1192" s="14" t="s">
        <v>207</v>
      </c>
      <c r="AW1192" s="74"/>
      <c r="AX1192" s="1"/>
      <c r="AY1192" s="17" t="s">
        <v>101</v>
      </c>
    </row>
    <row r="1193" spans="1:51" ht="12.75" customHeight="1" x14ac:dyDescent="0.25">
      <c r="A1193" s="5">
        <v>1136</v>
      </c>
      <c r="B1193" s="9">
        <v>1136</v>
      </c>
      <c r="C1193" s="9" t="s">
        <v>14073</v>
      </c>
      <c r="D1193" s="57" t="str">
        <f>HYPERLINK("http://prodenv.dep.state.fl.us/DepNexus/public/electronic-documents/OG_1136/facility!search","OG_1136_Docs")</f>
        <v>OG_1136_Docs</v>
      </c>
      <c r="E1193" s="57" t="str">
        <f>HYPERLINK("https://ca.dep.state.fl.us/mapdirect/?focus=oilandgas&amp;zoom=query&amp;querytype=oilandgas&amp;queryvalues=OG_1136","OG_1136_Map")</f>
        <v>OG_1136_Map</v>
      </c>
      <c r="F1193" s="1" t="s">
        <v>1682</v>
      </c>
      <c r="G1193" s="1" t="s">
        <v>13949</v>
      </c>
      <c r="H1193" s="1" t="s">
        <v>13950</v>
      </c>
      <c r="I1193" s="1" t="s">
        <v>14074</v>
      </c>
      <c r="J1193" s="17" t="s">
        <v>82</v>
      </c>
      <c r="K1193" s="17" t="s">
        <v>83</v>
      </c>
      <c r="L1193" s="17"/>
      <c r="M1193" s="17"/>
      <c r="N1193" s="52" t="s">
        <v>6945</v>
      </c>
      <c r="O1193" s="17" t="s">
        <v>86</v>
      </c>
      <c r="P1193" s="17" t="s">
        <v>86</v>
      </c>
      <c r="Q1193" s="81" t="s">
        <v>14075</v>
      </c>
      <c r="R1193" s="11">
        <v>30.919270000000001</v>
      </c>
      <c r="S1193" s="11">
        <v>-87.365172999999999</v>
      </c>
      <c r="T1193" s="11" t="s">
        <v>14076</v>
      </c>
      <c r="U1193" s="11" t="s">
        <v>14077</v>
      </c>
      <c r="V1193" s="17" t="s">
        <v>14078</v>
      </c>
      <c r="W1193" s="17" t="s">
        <v>110</v>
      </c>
      <c r="X1193" s="70">
        <v>170</v>
      </c>
      <c r="Y1193" s="70">
        <v>150</v>
      </c>
      <c r="Z1193" s="13">
        <v>30788</v>
      </c>
      <c r="AA1193" s="13">
        <v>30829</v>
      </c>
      <c r="AB1193" s="13">
        <v>30881</v>
      </c>
      <c r="AC1193" s="13">
        <v>30881</v>
      </c>
      <c r="AD1193" s="86">
        <v>16476</v>
      </c>
      <c r="AE1193" s="86">
        <v>16476</v>
      </c>
      <c r="AF1193" s="70" t="s">
        <v>94</v>
      </c>
      <c r="AG1193" s="17" t="s">
        <v>14079</v>
      </c>
      <c r="AH1193" s="17" t="s">
        <v>94</v>
      </c>
      <c r="AI1193" s="70" t="s">
        <v>94</v>
      </c>
      <c r="AJ1193" s="17" t="s">
        <v>94</v>
      </c>
      <c r="AK1193" s="17" t="s">
        <v>95</v>
      </c>
      <c r="AL1193" s="17" t="s">
        <v>14080</v>
      </c>
      <c r="AM1193" s="17" t="s">
        <v>95</v>
      </c>
      <c r="AN1193" s="17" t="s">
        <v>86</v>
      </c>
      <c r="AO1193" s="17" t="s">
        <v>98</v>
      </c>
      <c r="AP1193" s="17" t="s">
        <v>98</v>
      </c>
      <c r="AQ1193" s="17" t="s">
        <v>98</v>
      </c>
      <c r="AR1193" s="17" t="s">
        <v>94</v>
      </c>
      <c r="AS1193" s="17" t="s">
        <v>14081</v>
      </c>
      <c r="AT1193" s="17">
        <v>265</v>
      </c>
      <c r="AU1193" s="30" t="s">
        <v>14082</v>
      </c>
      <c r="AV1193" s="14">
        <v>15660</v>
      </c>
      <c r="AW1193" s="74"/>
      <c r="AX1193" s="1"/>
      <c r="AY1193" s="17" t="s">
        <v>101</v>
      </c>
    </row>
    <row r="1194" spans="1:51" ht="12.75" customHeight="1" x14ac:dyDescent="0.25">
      <c r="A1194" s="5">
        <v>1137</v>
      </c>
      <c r="B1194" s="9">
        <v>1137</v>
      </c>
      <c r="C1194" s="9" t="s">
        <v>14083</v>
      </c>
      <c r="D1194" s="57" t="str">
        <f>HYPERLINK("http://prodenv.dep.state.fl.us/DepNexus/public/electronic-documents/OG_1137/facility!search","OG_1137_Docs")</f>
        <v>OG_1137_Docs</v>
      </c>
      <c r="E1194" s="57" t="str">
        <f>HYPERLINK("https://ca.dep.state.fl.us/mapdirect/?focus=oilandgas&amp;zoom=query&amp;querytype=oilandgas&amp;queryvalues=OG_1137","OG_1137_Map")</f>
        <v>OG_1137_Map</v>
      </c>
      <c r="F1194" s="1" t="s">
        <v>265</v>
      </c>
      <c r="G1194" s="1" t="s">
        <v>79</v>
      </c>
      <c r="H1194" s="1" t="s">
        <v>14084</v>
      </c>
      <c r="I1194" s="1" t="s">
        <v>14085</v>
      </c>
      <c r="J1194" s="17" t="s">
        <v>82</v>
      </c>
      <c r="K1194" s="17" t="s">
        <v>83</v>
      </c>
      <c r="L1194" s="17"/>
      <c r="M1194" s="17"/>
      <c r="N1194" s="52" t="s">
        <v>5949</v>
      </c>
      <c r="O1194" s="17" t="s">
        <v>270</v>
      </c>
      <c r="P1194" s="17" t="s">
        <v>86</v>
      </c>
      <c r="Q1194" s="81" t="s">
        <v>14086</v>
      </c>
      <c r="R1194" s="11">
        <v>26.262260999999999</v>
      </c>
      <c r="S1194" s="11">
        <v>-81.387108999999995</v>
      </c>
      <c r="T1194" s="11" t="s">
        <v>14087</v>
      </c>
      <c r="U1194" s="11" t="s">
        <v>14088</v>
      </c>
      <c r="V1194" s="17" t="s">
        <v>14089</v>
      </c>
      <c r="W1194" s="17"/>
      <c r="X1194" s="70"/>
      <c r="Y1194" s="70"/>
      <c r="Z1194" s="13">
        <v>30810</v>
      </c>
      <c r="AA1194" s="13">
        <v>31005</v>
      </c>
      <c r="AB1194" s="13"/>
      <c r="AC1194" s="13">
        <v>31032</v>
      </c>
      <c r="AD1194" s="86">
        <v>11960</v>
      </c>
      <c r="AE1194" s="86">
        <v>11960</v>
      </c>
      <c r="AF1194" s="71" t="s">
        <v>12654</v>
      </c>
      <c r="AG1194" s="17" t="s">
        <v>14090</v>
      </c>
      <c r="AH1194" s="17" t="s">
        <v>14091</v>
      </c>
      <c r="AI1194" s="70" t="s">
        <v>94</v>
      </c>
      <c r="AJ1194" s="17" t="s">
        <v>94</v>
      </c>
      <c r="AK1194" s="17" t="s">
        <v>95</v>
      </c>
      <c r="AL1194" s="17" t="s">
        <v>94</v>
      </c>
      <c r="AM1194" s="17" t="s">
        <v>94</v>
      </c>
      <c r="AN1194" s="17" t="s">
        <v>94</v>
      </c>
      <c r="AO1194" s="17" t="s">
        <v>98</v>
      </c>
      <c r="AP1194" s="17" t="s">
        <v>98</v>
      </c>
      <c r="AQ1194" s="17" t="s">
        <v>98</v>
      </c>
      <c r="AR1194" s="17" t="s">
        <v>94</v>
      </c>
      <c r="AS1194" s="17" t="s">
        <v>14092</v>
      </c>
      <c r="AT1194" s="17"/>
      <c r="AU1194" s="30" t="s">
        <v>14093</v>
      </c>
      <c r="AV1194" s="14">
        <v>15710</v>
      </c>
      <c r="AW1194" s="74"/>
      <c r="AX1194" s="1"/>
      <c r="AY1194" s="17" t="s">
        <v>101</v>
      </c>
    </row>
    <row r="1195" spans="1:51" ht="12.75" customHeight="1" x14ac:dyDescent="0.25">
      <c r="A1195" s="5">
        <v>1138</v>
      </c>
      <c r="B1195" s="9">
        <v>1138</v>
      </c>
      <c r="C1195" s="9" t="s">
        <v>14094</v>
      </c>
      <c r="D1195" s="57" t="str">
        <f>HYPERLINK("http://prodenv.dep.state.fl.us/DepNexus/public/electronic-documents/OG_1138/facility!search","OG_1138_Docs")</f>
        <v>OG_1138_Docs</v>
      </c>
      <c r="E1195" s="57" t="str">
        <f>HYPERLINK("https://ca.dep.state.fl.us/mapdirect/?focus=oilandgas&amp;zoom=query&amp;querytype=oilandgas&amp;queryvalues=OG_1138","OG_1138_Map")</f>
        <v>OG_1138_Map</v>
      </c>
      <c r="F1195" s="1" t="s">
        <v>314</v>
      </c>
      <c r="G1195" s="1" t="s">
        <v>79</v>
      </c>
      <c r="H1195" s="1" t="s">
        <v>12061</v>
      </c>
      <c r="I1195" s="1" t="s">
        <v>14095</v>
      </c>
      <c r="J1195" s="17" t="s">
        <v>82</v>
      </c>
      <c r="K1195" s="17" t="s">
        <v>83</v>
      </c>
      <c r="L1195" s="17"/>
      <c r="M1195" s="17" t="s">
        <v>101</v>
      </c>
      <c r="N1195" s="52" t="s">
        <v>9659</v>
      </c>
      <c r="O1195" s="17" t="s">
        <v>86</v>
      </c>
      <c r="P1195" s="17" t="s">
        <v>86</v>
      </c>
      <c r="Q1195" s="81" t="s">
        <v>14096</v>
      </c>
      <c r="R1195" s="11">
        <v>30.575236</v>
      </c>
      <c r="S1195" s="11">
        <v>-86.054715000000002</v>
      </c>
      <c r="T1195" s="11" t="s">
        <v>14097</v>
      </c>
      <c r="U1195" s="11" t="s">
        <v>14098</v>
      </c>
      <c r="V1195" s="17" t="s">
        <v>14099</v>
      </c>
      <c r="W1195" s="17"/>
      <c r="X1195" s="70"/>
      <c r="Y1195" s="70">
        <v>171</v>
      </c>
      <c r="Z1195" s="13">
        <v>30826</v>
      </c>
      <c r="AA1195" s="13">
        <v>30857</v>
      </c>
      <c r="AB1195" s="13">
        <v>30871</v>
      </c>
      <c r="AC1195" s="13">
        <v>30873</v>
      </c>
      <c r="AD1195" s="86">
        <v>5200</v>
      </c>
      <c r="AE1195" s="86">
        <v>5200</v>
      </c>
      <c r="AF1195" s="71" t="s">
        <v>14100</v>
      </c>
      <c r="AG1195" s="23" t="s">
        <v>14101</v>
      </c>
      <c r="AH1195" s="17" t="s">
        <v>94</v>
      </c>
      <c r="AI1195" s="70" t="s">
        <v>94</v>
      </c>
      <c r="AJ1195" s="17" t="s">
        <v>94</v>
      </c>
      <c r="AK1195" s="17" t="s">
        <v>95</v>
      </c>
      <c r="AL1195" s="17"/>
      <c r="AM1195" s="17"/>
      <c r="AN1195" s="17" t="s">
        <v>94</v>
      </c>
      <c r="AO1195" s="17" t="s">
        <v>98</v>
      </c>
      <c r="AP1195" s="17" t="s">
        <v>98</v>
      </c>
      <c r="AQ1195" s="17" t="s">
        <v>98</v>
      </c>
      <c r="AR1195" s="17" t="s">
        <v>94</v>
      </c>
      <c r="AS1195" s="17" t="s">
        <v>14102</v>
      </c>
      <c r="AT1195" s="17">
        <v>132</v>
      </c>
      <c r="AU1195" s="30" t="s">
        <v>14103</v>
      </c>
      <c r="AV1195" s="14">
        <v>15561</v>
      </c>
      <c r="AW1195" s="74"/>
      <c r="AX1195" s="1"/>
      <c r="AY1195" s="17" t="s">
        <v>101</v>
      </c>
    </row>
    <row r="1196" spans="1:51" ht="12.75" customHeight="1" x14ac:dyDescent="0.25">
      <c r="A1196" s="5">
        <v>1139</v>
      </c>
      <c r="B1196" s="9">
        <v>1139</v>
      </c>
      <c r="C1196" s="9" t="s">
        <v>14104</v>
      </c>
      <c r="D1196" s="57" t="str">
        <f>HYPERLINK("http://prodenv.dep.state.fl.us/DepNexus/public/electronic-documents/OG_1139/facility!search","OG_1139_Docs")</f>
        <v>OG_1139_Docs</v>
      </c>
      <c r="E1196" s="57" t="str">
        <f>HYPERLINK("https://ca.dep.state.fl.us/mapdirect/?focus=oilandgas&amp;zoom=query&amp;querytype=oilandgas&amp;queryvalues=OG_1139","OG_1139_Map")</f>
        <v>OG_1139_Map</v>
      </c>
      <c r="F1196" s="1" t="s">
        <v>1682</v>
      </c>
      <c r="G1196" s="1" t="s">
        <v>13949</v>
      </c>
      <c r="H1196" s="1" t="s">
        <v>13950</v>
      </c>
      <c r="I1196" s="1" t="s">
        <v>14105</v>
      </c>
      <c r="J1196" s="17" t="s">
        <v>207</v>
      </c>
      <c r="K1196" s="17" t="s">
        <v>208</v>
      </c>
      <c r="L1196" s="17"/>
      <c r="M1196" s="17" t="s">
        <v>207</v>
      </c>
      <c r="N1196" s="52" t="s">
        <v>207</v>
      </c>
      <c r="O1196" s="17" t="s">
        <v>86</v>
      </c>
      <c r="P1196" s="17" t="s">
        <v>86</v>
      </c>
      <c r="Q1196" s="81" t="s">
        <v>13953</v>
      </c>
      <c r="R1196" s="11">
        <v>30.916846</v>
      </c>
      <c r="S1196" s="11">
        <v>-87.356813000000002</v>
      </c>
      <c r="T1196" s="11" t="s">
        <v>14106</v>
      </c>
      <c r="U1196" s="11" t="s">
        <v>14107</v>
      </c>
      <c r="V1196" s="17" t="s">
        <v>14108</v>
      </c>
      <c r="W1196" s="17"/>
      <c r="X1196" s="71"/>
      <c r="Y1196" s="71"/>
      <c r="Z1196" s="13">
        <v>30826</v>
      </c>
      <c r="AA1196" s="26"/>
      <c r="AB1196" s="26"/>
      <c r="AC1196" s="26"/>
      <c r="AD1196" s="86"/>
      <c r="AE1196" s="86"/>
      <c r="AF1196" s="71" t="s">
        <v>207</v>
      </c>
      <c r="AG1196" s="27" t="s">
        <v>207</v>
      </c>
      <c r="AH1196" s="27" t="s">
        <v>207</v>
      </c>
      <c r="AI1196" s="71" t="s">
        <v>207</v>
      </c>
      <c r="AJ1196" s="27" t="s">
        <v>207</v>
      </c>
      <c r="AK1196" s="27" t="s">
        <v>207</v>
      </c>
      <c r="AL1196" s="27" t="s">
        <v>207</v>
      </c>
      <c r="AM1196" s="27" t="s">
        <v>207</v>
      </c>
      <c r="AN1196" s="27" t="s">
        <v>207</v>
      </c>
      <c r="AO1196" s="27" t="s">
        <v>207</v>
      </c>
      <c r="AP1196" s="27" t="s">
        <v>207</v>
      </c>
      <c r="AQ1196" s="27" t="s">
        <v>207</v>
      </c>
      <c r="AR1196" s="27" t="s">
        <v>207</v>
      </c>
      <c r="AS1196" s="27" t="s">
        <v>207</v>
      </c>
      <c r="AT1196" s="27" t="s">
        <v>207</v>
      </c>
      <c r="AU1196" s="30" t="s">
        <v>1843</v>
      </c>
      <c r="AV1196" s="27" t="s">
        <v>207</v>
      </c>
      <c r="AW1196" s="74"/>
      <c r="AX1196" s="1"/>
      <c r="AY1196" s="17" t="s">
        <v>101</v>
      </c>
    </row>
    <row r="1197" spans="1:51" ht="12.75" customHeight="1" x14ac:dyDescent="0.25">
      <c r="A1197" s="5">
        <v>1140</v>
      </c>
      <c r="B1197" s="9">
        <v>1140</v>
      </c>
      <c r="C1197" s="9" t="s">
        <v>14109</v>
      </c>
      <c r="D1197" s="57" t="str">
        <f>HYPERLINK("http://prodenv.dep.state.fl.us/DepNexus/public/electronic-documents/OG_1140/facility!search","OG_1140_Docs")</f>
        <v>OG_1140_Docs</v>
      </c>
      <c r="E1197" s="57" t="str">
        <f>HYPERLINK("https://ca.dep.state.fl.us/mapdirect/?focus=oilandgas&amp;zoom=query&amp;querytype=oilandgas&amp;queryvalues=OG_1140","OG_1140_Map")</f>
        <v>OG_1140_Map</v>
      </c>
      <c r="F1197" s="1" t="s">
        <v>265</v>
      </c>
      <c r="G1197" s="1" t="s">
        <v>79</v>
      </c>
      <c r="H1197" s="1" t="s">
        <v>14110</v>
      </c>
      <c r="I1197" s="1" t="s">
        <v>14111</v>
      </c>
      <c r="J1197" s="17" t="s">
        <v>82</v>
      </c>
      <c r="K1197" s="17" t="s">
        <v>83</v>
      </c>
      <c r="L1197" s="17"/>
      <c r="M1197" s="17"/>
      <c r="N1197" s="52" t="s">
        <v>9617</v>
      </c>
      <c r="O1197" s="17" t="s">
        <v>270</v>
      </c>
      <c r="P1197" s="17" t="s">
        <v>3395</v>
      </c>
      <c r="Q1197" s="81" t="s">
        <v>8552</v>
      </c>
      <c r="R1197" s="11">
        <v>26.176850000000002</v>
      </c>
      <c r="S1197" s="11">
        <v>-81.233025999999995</v>
      </c>
      <c r="T1197" s="11" t="s">
        <v>8553</v>
      </c>
      <c r="U1197" s="11" t="s">
        <v>8554</v>
      </c>
      <c r="V1197" s="17" t="s">
        <v>14112</v>
      </c>
      <c r="W1197" s="17"/>
      <c r="X1197" s="70">
        <v>37.1</v>
      </c>
      <c r="Y1197" s="70">
        <v>16.2</v>
      </c>
      <c r="Z1197" s="13">
        <v>31056</v>
      </c>
      <c r="AA1197" s="13">
        <v>31231</v>
      </c>
      <c r="AB1197" s="13">
        <v>31304</v>
      </c>
      <c r="AC1197" s="13">
        <v>31335</v>
      </c>
      <c r="AD1197" s="86">
        <v>11555</v>
      </c>
      <c r="AE1197" s="86">
        <v>11632</v>
      </c>
      <c r="AF1197" s="71" t="s">
        <v>13132</v>
      </c>
      <c r="AG1197" s="23" t="s">
        <v>14113</v>
      </c>
      <c r="AH1197" s="23" t="s">
        <v>8332</v>
      </c>
      <c r="AI1197" s="71" t="s">
        <v>14114</v>
      </c>
      <c r="AJ1197" s="17"/>
      <c r="AK1197" s="17"/>
      <c r="AL1197" s="23" t="s">
        <v>95</v>
      </c>
      <c r="AM1197" s="23" t="s">
        <v>95</v>
      </c>
      <c r="AN1197" s="23" t="s">
        <v>95</v>
      </c>
      <c r="AO1197" s="17"/>
      <c r="AP1197" s="17"/>
      <c r="AQ1197" s="17"/>
      <c r="AR1197" s="23" t="s">
        <v>14115</v>
      </c>
      <c r="AS1197" s="17" t="s">
        <v>14116</v>
      </c>
      <c r="AT1197" s="17"/>
      <c r="AU1197" s="30" t="s">
        <v>14117</v>
      </c>
      <c r="AV1197" s="14">
        <v>15796</v>
      </c>
      <c r="AW1197" s="74"/>
      <c r="AX1197" s="1" t="s">
        <v>14118</v>
      </c>
      <c r="AY1197" s="17" t="s">
        <v>101</v>
      </c>
    </row>
    <row r="1198" spans="1:51" ht="12.75" customHeight="1" x14ac:dyDescent="0.25">
      <c r="A1198" s="5">
        <v>1141</v>
      </c>
      <c r="B1198" s="9">
        <v>1141</v>
      </c>
      <c r="C1198" s="9" t="s">
        <v>14119</v>
      </c>
      <c r="D1198" s="57" t="str">
        <f>HYPERLINK("http://prodenv.dep.state.fl.us/DepNexus/public/electronic-documents/OG_1141/facility!search","OG_1141_Docs")</f>
        <v>OG_1141_Docs</v>
      </c>
      <c r="E1198" s="57" t="str">
        <f>HYPERLINK("https://ca.dep.state.fl.us/mapdirect/?focus=oilandgas&amp;zoom=query&amp;querytype=oilandgas&amp;queryvalues=OG_1141","OG_1141_Map")</f>
        <v>OG_1141_Map</v>
      </c>
      <c r="F1198" s="1" t="s">
        <v>265</v>
      </c>
      <c r="G1198" s="1" t="s">
        <v>10452</v>
      </c>
      <c r="H1198" s="1" t="s">
        <v>8318</v>
      </c>
      <c r="I1198" s="1" t="s">
        <v>14120</v>
      </c>
      <c r="J1198" s="17" t="s">
        <v>268</v>
      </c>
      <c r="K1198" s="17" t="s">
        <v>5048</v>
      </c>
      <c r="L1198" s="17"/>
      <c r="M1198" s="17"/>
      <c r="N1198" s="52" t="s">
        <v>6945</v>
      </c>
      <c r="O1198" s="17" t="s">
        <v>270</v>
      </c>
      <c r="P1198" s="17" t="s">
        <v>3395</v>
      </c>
      <c r="Q1198" s="81" t="s">
        <v>14121</v>
      </c>
      <c r="R1198" s="11">
        <v>25.977677</v>
      </c>
      <c r="S1198" s="11">
        <v>-80.903614000000005</v>
      </c>
      <c r="T1198" s="11" t="s">
        <v>14122</v>
      </c>
      <c r="U1198" s="11" t="s">
        <v>14123</v>
      </c>
      <c r="V1198" s="17" t="s">
        <v>14124</v>
      </c>
      <c r="W1198" s="17" t="s">
        <v>14125</v>
      </c>
      <c r="X1198" s="70">
        <v>36</v>
      </c>
      <c r="Y1198" s="70">
        <v>12</v>
      </c>
      <c r="Z1198" s="13">
        <v>31033</v>
      </c>
      <c r="AA1198" s="13">
        <v>31035</v>
      </c>
      <c r="AB1198" s="13">
        <v>31321</v>
      </c>
      <c r="AC1198" s="13">
        <v>36692</v>
      </c>
      <c r="AD1198" s="86">
        <v>11464</v>
      </c>
      <c r="AE1198" s="86">
        <v>12712</v>
      </c>
      <c r="AF1198" s="70" t="s">
        <v>14126</v>
      </c>
      <c r="AG1198" s="14" t="s">
        <v>14127</v>
      </c>
      <c r="AH1198" s="17" t="s">
        <v>14128</v>
      </c>
      <c r="AI1198" s="70" t="s">
        <v>14129</v>
      </c>
      <c r="AJ1198" s="17"/>
      <c r="AK1198" s="17" t="s">
        <v>95</v>
      </c>
      <c r="AL1198" s="17" t="s">
        <v>14130</v>
      </c>
      <c r="AM1198" s="17"/>
      <c r="AN1198" s="17"/>
      <c r="AO1198" s="17"/>
      <c r="AP1198" s="17"/>
      <c r="AQ1198" s="17"/>
      <c r="AR1198" s="17" t="s">
        <v>14131</v>
      </c>
      <c r="AS1198" s="17" t="s">
        <v>14132</v>
      </c>
      <c r="AT1198" s="17"/>
      <c r="AU1198" s="30" t="s">
        <v>14133</v>
      </c>
      <c r="AV1198" s="14">
        <v>15753</v>
      </c>
      <c r="AW1198" s="74"/>
      <c r="AX1198" s="1" t="s">
        <v>14134</v>
      </c>
      <c r="AY1198" s="17" t="s">
        <v>101</v>
      </c>
    </row>
    <row r="1199" spans="1:51" ht="12.75" customHeight="1" x14ac:dyDescent="0.25">
      <c r="A1199" s="5">
        <v>1141.0999999999999</v>
      </c>
      <c r="B1199" s="9" t="s">
        <v>14135</v>
      </c>
      <c r="C1199" s="9" t="s">
        <v>14119</v>
      </c>
      <c r="D1199" s="57" t="str">
        <f>HYPERLINK("http://prodenv.dep.state.fl.us/DepNexus/public/electronic-documents/OG_1141/facility!search","OG_1141_Docs")</f>
        <v>OG_1141_Docs</v>
      </c>
      <c r="E1199" s="57" t="str">
        <f>HYPERLINK("https://ca.dep.state.fl.us/mapdirect/?focus=oilandgas&amp;zoom=query&amp;querytype=oilandgas&amp;queryvalues=OG_1141","OG_1141_Map")</f>
        <v>OG_1141_Map</v>
      </c>
      <c r="F1199" s="1" t="s">
        <v>265</v>
      </c>
      <c r="G1199" s="1" t="s">
        <v>10452</v>
      </c>
      <c r="H1199" s="1" t="s">
        <v>1363</v>
      </c>
      <c r="I1199" s="1" t="s">
        <v>14136</v>
      </c>
      <c r="J1199" s="17" t="s">
        <v>3646</v>
      </c>
      <c r="K1199" s="17" t="s">
        <v>412</v>
      </c>
      <c r="L1199" s="17"/>
      <c r="M1199" s="17"/>
      <c r="N1199" s="52" t="s">
        <v>14137</v>
      </c>
      <c r="O1199" s="17" t="s">
        <v>270</v>
      </c>
      <c r="P1199" s="17" t="s">
        <v>3395</v>
      </c>
      <c r="Q1199" s="81" t="s">
        <v>14121</v>
      </c>
      <c r="R1199" s="11">
        <v>25.977677</v>
      </c>
      <c r="S1199" s="11">
        <v>-80.903614000000005</v>
      </c>
      <c r="T1199" s="11" t="s">
        <v>14122</v>
      </c>
      <c r="U1199" s="11" t="s">
        <v>14123</v>
      </c>
      <c r="V1199" s="17" t="s">
        <v>14124</v>
      </c>
      <c r="W1199" s="17" t="s">
        <v>14138</v>
      </c>
      <c r="X1199" s="70">
        <v>32.700000000000003</v>
      </c>
      <c r="Y1199" s="70">
        <v>11.7</v>
      </c>
      <c r="Z1199" s="13">
        <v>36537</v>
      </c>
      <c r="AA1199" s="13">
        <v>36812</v>
      </c>
      <c r="AB1199" s="13">
        <v>36881</v>
      </c>
      <c r="AC1199" s="13"/>
      <c r="AD1199" s="86">
        <v>11394</v>
      </c>
      <c r="AE1199" s="86">
        <v>15137</v>
      </c>
      <c r="AF1199" s="70" t="s">
        <v>14126</v>
      </c>
      <c r="AG1199" s="14" t="s">
        <v>14127</v>
      </c>
      <c r="AH1199" s="17" t="s">
        <v>14128</v>
      </c>
      <c r="AI1199" s="70" t="s">
        <v>14139</v>
      </c>
      <c r="AJ1199" s="17" t="s">
        <v>14140</v>
      </c>
      <c r="AK1199" s="17" t="s">
        <v>825</v>
      </c>
      <c r="AL1199" s="17" t="s">
        <v>825</v>
      </c>
      <c r="AM1199" s="17" t="s">
        <v>825</v>
      </c>
      <c r="AN1199" s="17" t="s">
        <v>825</v>
      </c>
      <c r="AO1199" s="17" t="s">
        <v>14141</v>
      </c>
      <c r="AP1199" s="17" t="s">
        <v>14142</v>
      </c>
      <c r="AQ1199" s="17" t="s">
        <v>14143</v>
      </c>
      <c r="AR1199" s="17" t="s">
        <v>14144</v>
      </c>
      <c r="AS1199" s="17"/>
      <c r="AT1199" s="17">
        <v>180</v>
      </c>
      <c r="AU1199" s="30" t="s">
        <v>14145</v>
      </c>
      <c r="AV1199" s="14" t="s">
        <v>98</v>
      </c>
      <c r="AW1199" s="74">
        <v>304272</v>
      </c>
      <c r="AX1199" s="1"/>
      <c r="AY1199" s="17" t="s">
        <v>101</v>
      </c>
    </row>
    <row r="1200" spans="1:51" ht="15" customHeight="1" x14ac:dyDescent="0.25">
      <c r="A1200" s="5">
        <v>1142</v>
      </c>
      <c r="B1200" s="9">
        <v>1142</v>
      </c>
      <c r="C1200" s="9" t="s">
        <v>14146</v>
      </c>
      <c r="D1200" s="57" t="str">
        <f>HYPERLINK("http://prodenv.dep.state.fl.us/DepNexus/public/electronic-documents/OG_1142/facility!search","OG_1142_Docs")</f>
        <v>OG_1142_Docs</v>
      </c>
      <c r="E1200" s="57" t="str">
        <f>HYPERLINK("https://ca.dep.state.fl.us/mapdirect/?focus=oilandgas&amp;zoom=query&amp;querytype=oilandgas&amp;queryvalues=OG_1142","OG_1142_Map")</f>
        <v>OG_1142_Map</v>
      </c>
      <c r="F1200" s="1" t="s">
        <v>265</v>
      </c>
      <c r="G1200" s="1" t="s">
        <v>266</v>
      </c>
      <c r="H1200" s="1" t="s">
        <v>8261</v>
      </c>
      <c r="I1200" s="1" t="s">
        <v>14147</v>
      </c>
      <c r="J1200" s="17" t="s">
        <v>268</v>
      </c>
      <c r="K1200" s="17" t="s">
        <v>412</v>
      </c>
      <c r="L1200" s="17"/>
      <c r="M1200" s="17" t="s">
        <v>101</v>
      </c>
      <c r="N1200" s="52" t="s">
        <v>14148</v>
      </c>
      <c r="O1200" s="17" t="s">
        <v>270</v>
      </c>
      <c r="P1200" s="17" t="s">
        <v>86</v>
      </c>
      <c r="Q1200" s="81" t="s">
        <v>1082</v>
      </c>
      <c r="R1200" s="11">
        <v>26.295081</v>
      </c>
      <c r="S1200" s="11">
        <v>-81.360849999999999</v>
      </c>
      <c r="T1200" s="11" t="s">
        <v>14149</v>
      </c>
      <c r="U1200" s="11" t="s">
        <v>14150</v>
      </c>
      <c r="V1200" s="17" t="s">
        <v>14151</v>
      </c>
      <c r="W1200" s="17" t="s">
        <v>110</v>
      </c>
      <c r="X1200" s="70">
        <v>43</v>
      </c>
      <c r="Y1200" s="70">
        <v>20</v>
      </c>
      <c r="Z1200" s="13">
        <v>31064</v>
      </c>
      <c r="AA1200" s="13">
        <v>31074</v>
      </c>
      <c r="AB1200" s="13">
        <v>31411</v>
      </c>
      <c r="AC1200" s="13">
        <v>31411</v>
      </c>
      <c r="AD1200" s="86">
        <v>11760</v>
      </c>
      <c r="AE1200" s="86">
        <v>11760</v>
      </c>
      <c r="AF1200" s="70" t="s">
        <v>14152</v>
      </c>
      <c r="AG1200" s="17" t="s">
        <v>14153</v>
      </c>
      <c r="AH1200" s="17" t="s">
        <v>14154</v>
      </c>
      <c r="AI1200" s="70" t="s">
        <v>14155</v>
      </c>
      <c r="AJ1200" s="17" t="s">
        <v>14156</v>
      </c>
      <c r="AK1200" s="17" t="s">
        <v>825</v>
      </c>
      <c r="AL1200" s="17" t="s">
        <v>14157</v>
      </c>
      <c r="AM1200" s="17" t="s">
        <v>825</v>
      </c>
      <c r="AN1200" s="17" t="s">
        <v>86</v>
      </c>
      <c r="AO1200" s="17" t="s">
        <v>14158</v>
      </c>
      <c r="AP1200" s="17">
        <v>0</v>
      </c>
      <c r="AQ1200" s="17" t="s">
        <v>14159</v>
      </c>
      <c r="AR1200" s="17" t="s">
        <v>14160</v>
      </c>
      <c r="AS1200" s="17" t="s">
        <v>14161</v>
      </c>
      <c r="AT1200" s="17">
        <v>162</v>
      </c>
      <c r="AU1200" s="30" t="s">
        <v>14162</v>
      </c>
      <c r="AV1200" s="14">
        <v>15754</v>
      </c>
      <c r="AW1200" s="74"/>
      <c r="AX1200" s="1"/>
      <c r="AY1200" s="17" t="s">
        <v>101</v>
      </c>
    </row>
    <row r="1201" spans="1:51" ht="15" customHeight="1" x14ac:dyDescent="0.25">
      <c r="A1201" s="5">
        <v>1143</v>
      </c>
      <c r="B1201" s="9">
        <v>1143</v>
      </c>
      <c r="C1201" s="9" t="s">
        <v>14163</v>
      </c>
      <c r="D1201" s="57" t="str">
        <f>HYPERLINK("http://prodenv.dep.state.fl.us/DepNexus/public/electronic-documents/OG_1143/facility!search","OG_1143_Docs")</f>
        <v>OG_1143_Docs</v>
      </c>
      <c r="E1201" s="57" t="str">
        <f>HYPERLINK("https://ca.dep.state.fl.us/mapdirect/?focus=oilandgas&amp;zoom=query&amp;querytype=oilandgas&amp;queryvalues=OG_1143","OG_1143_Map")</f>
        <v>OG_1143_Map</v>
      </c>
      <c r="F1201" s="1" t="s">
        <v>265</v>
      </c>
      <c r="G1201" s="1" t="s">
        <v>79</v>
      </c>
      <c r="H1201" s="1" t="s">
        <v>12149</v>
      </c>
      <c r="I1201" s="1" t="s">
        <v>12125</v>
      </c>
      <c r="J1201" s="17" t="s">
        <v>207</v>
      </c>
      <c r="K1201" s="17" t="s">
        <v>208</v>
      </c>
      <c r="L1201" s="17"/>
      <c r="M1201" s="17" t="s">
        <v>207</v>
      </c>
      <c r="N1201" s="52" t="s">
        <v>207</v>
      </c>
      <c r="O1201" s="17" t="s">
        <v>86</v>
      </c>
      <c r="P1201" s="17" t="s">
        <v>86</v>
      </c>
      <c r="Q1201" s="81" t="s">
        <v>14164</v>
      </c>
      <c r="R1201" s="11">
        <v>26.412559999999999</v>
      </c>
      <c r="S1201" s="11">
        <v>-81.542299999999997</v>
      </c>
      <c r="T1201" s="11" t="s">
        <v>14165</v>
      </c>
      <c r="U1201" s="11" t="s">
        <v>14166</v>
      </c>
      <c r="V1201" s="17" t="s">
        <v>941</v>
      </c>
      <c r="W1201" s="17"/>
      <c r="X1201" s="71"/>
      <c r="Y1201" s="71"/>
      <c r="Z1201" s="13">
        <v>30826</v>
      </c>
      <c r="AA1201" s="26"/>
      <c r="AB1201" s="26"/>
      <c r="AC1201" s="26"/>
      <c r="AD1201" s="86"/>
      <c r="AE1201" s="86"/>
      <c r="AF1201" s="71" t="s">
        <v>207</v>
      </c>
      <c r="AG1201" s="27" t="s">
        <v>207</v>
      </c>
      <c r="AH1201" s="27" t="s">
        <v>207</v>
      </c>
      <c r="AI1201" s="71" t="s">
        <v>207</v>
      </c>
      <c r="AJ1201" s="27" t="s">
        <v>207</v>
      </c>
      <c r="AK1201" s="27" t="s">
        <v>207</v>
      </c>
      <c r="AL1201" s="27" t="s">
        <v>207</v>
      </c>
      <c r="AM1201" s="27" t="s">
        <v>207</v>
      </c>
      <c r="AN1201" s="27" t="s">
        <v>207</v>
      </c>
      <c r="AO1201" s="27" t="s">
        <v>207</v>
      </c>
      <c r="AP1201" s="27" t="s">
        <v>207</v>
      </c>
      <c r="AQ1201" s="27" t="s">
        <v>207</v>
      </c>
      <c r="AR1201" s="27" t="s">
        <v>207</v>
      </c>
      <c r="AS1201" s="27" t="s">
        <v>207</v>
      </c>
      <c r="AT1201" s="27" t="s">
        <v>207</v>
      </c>
      <c r="AU1201" s="30" t="s">
        <v>1843</v>
      </c>
      <c r="AV1201" s="27" t="s">
        <v>207</v>
      </c>
      <c r="AW1201" s="74"/>
      <c r="AX1201" s="1"/>
      <c r="AY1201" s="17" t="s">
        <v>101</v>
      </c>
    </row>
    <row r="1202" spans="1:51" ht="15" customHeight="1" x14ac:dyDescent="0.25">
      <c r="A1202" s="5">
        <v>1144</v>
      </c>
      <c r="B1202" s="9">
        <v>1144</v>
      </c>
      <c r="C1202" s="9" t="s">
        <v>14167</v>
      </c>
      <c r="D1202" s="57" t="str">
        <f>HYPERLINK("http://prodenv.dep.state.fl.us/DepNexus/public/electronic-documents/OG_1144/facility!search","OG_1144_Docs")</f>
        <v>OG_1144_Docs</v>
      </c>
      <c r="E1202" s="57" t="str">
        <f>HYPERLINK("https://ca.dep.state.fl.us/mapdirect/?focus=oilandgas&amp;zoom=query&amp;querytype=oilandgas&amp;queryvalues=OG_1144","OG_1144_Map")</f>
        <v>OG_1144_Map</v>
      </c>
      <c r="F1202" s="1" t="s">
        <v>1797</v>
      </c>
      <c r="G1202" s="1" t="s">
        <v>6648</v>
      </c>
      <c r="H1202" s="1" t="s">
        <v>6668</v>
      </c>
      <c r="I1202" s="1" t="s">
        <v>14168</v>
      </c>
      <c r="J1202" s="17" t="s">
        <v>1476</v>
      </c>
      <c r="K1202" s="17" t="s">
        <v>412</v>
      </c>
      <c r="L1202" s="17"/>
      <c r="M1202" s="17"/>
      <c r="N1202" s="52" t="s">
        <v>14169</v>
      </c>
      <c r="O1202" s="17" t="s">
        <v>86</v>
      </c>
      <c r="P1202" s="17" t="s">
        <v>86</v>
      </c>
      <c r="Q1202" s="81" t="s">
        <v>12278</v>
      </c>
      <c r="R1202" s="11">
        <v>30.860382000000001</v>
      </c>
      <c r="S1202" s="11">
        <v>-87.118161000000001</v>
      </c>
      <c r="T1202" s="11" t="s">
        <v>14170</v>
      </c>
      <c r="U1202" s="11" t="s">
        <v>14171</v>
      </c>
      <c r="V1202" s="17" t="s">
        <v>14172</v>
      </c>
      <c r="W1202" s="17" t="s">
        <v>110</v>
      </c>
      <c r="X1202" s="70">
        <v>183</v>
      </c>
      <c r="Y1202" s="70">
        <v>153</v>
      </c>
      <c r="Z1202" s="13">
        <v>30826</v>
      </c>
      <c r="AA1202" s="13">
        <v>30865</v>
      </c>
      <c r="AB1202" s="13">
        <v>30931</v>
      </c>
      <c r="AC1202" s="13">
        <v>45916</v>
      </c>
      <c r="AD1202" s="86">
        <v>16103</v>
      </c>
      <c r="AE1202" s="86">
        <v>16103</v>
      </c>
      <c r="AF1202" s="70" t="s">
        <v>14173</v>
      </c>
      <c r="AG1202" s="17" t="s">
        <v>14174</v>
      </c>
      <c r="AH1202" s="17" t="s">
        <v>94</v>
      </c>
      <c r="AI1202" s="70" t="s">
        <v>14175</v>
      </c>
      <c r="AJ1202" s="17" t="s">
        <v>14176</v>
      </c>
      <c r="AK1202" s="17" t="s">
        <v>94</v>
      </c>
      <c r="AL1202" s="17" t="s">
        <v>14177</v>
      </c>
      <c r="AM1202" s="17" t="s">
        <v>94</v>
      </c>
      <c r="AN1202" s="17" t="s">
        <v>86</v>
      </c>
      <c r="AO1202" s="17" t="s">
        <v>14178</v>
      </c>
      <c r="AP1202" s="17" t="s">
        <v>14179</v>
      </c>
      <c r="AQ1202" s="17"/>
      <c r="AR1202" s="17" t="s">
        <v>14180</v>
      </c>
      <c r="AS1202" s="17" t="s">
        <v>14181</v>
      </c>
      <c r="AT1202" s="17">
        <v>276</v>
      </c>
      <c r="AU1202" s="30" t="s">
        <v>14182</v>
      </c>
      <c r="AV1202" s="14">
        <v>15714</v>
      </c>
      <c r="AW1202" s="74">
        <v>302541</v>
      </c>
      <c r="AX1202" s="1"/>
      <c r="AY1202" s="17" t="s">
        <v>101</v>
      </c>
    </row>
    <row r="1203" spans="1:51" ht="12.75" customHeight="1" x14ac:dyDescent="0.25">
      <c r="A1203" s="5">
        <v>1145</v>
      </c>
      <c r="B1203" s="9">
        <v>1145</v>
      </c>
      <c r="C1203" s="9" t="s">
        <v>14183</v>
      </c>
      <c r="D1203" s="57" t="str">
        <f>HYPERLINK("http://prodenv.dep.state.fl.us/DepNexus/public/electronic-documents/OG_1145/facility!search","OG_1145_Docs")</f>
        <v>OG_1145_Docs</v>
      </c>
      <c r="E1203" s="57" t="str">
        <f>HYPERLINK("https://ca.dep.state.fl.us/mapdirect/?focus=oilandgas&amp;zoom=query&amp;querytype=oilandgas&amp;queryvalues=OG_1145","OG_1145_Map")</f>
        <v>OG_1145_Map</v>
      </c>
      <c r="F1203" s="1" t="s">
        <v>1797</v>
      </c>
      <c r="G1203" s="1" t="s">
        <v>5133</v>
      </c>
      <c r="H1203" s="1" t="s">
        <v>8261</v>
      </c>
      <c r="I1203" s="1" t="s">
        <v>14184</v>
      </c>
      <c r="J1203" s="17" t="s">
        <v>268</v>
      </c>
      <c r="K1203" s="17" t="s">
        <v>412</v>
      </c>
      <c r="L1203" s="17"/>
      <c r="M1203" s="17"/>
      <c r="N1203" s="52" t="s">
        <v>14185</v>
      </c>
      <c r="O1203" s="17" t="s">
        <v>86</v>
      </c>
      <c r="P1203" s="17" t="s">
        <v>86</v>
      </c>
      <c r="Q1203" s="81" t="s">
        <v>7860</v>
      </c>
      <c r="R1203" s="11">
        <v>30.945851000000001</v>
      </c>
      <c r="S1203" s="11">
        <v>-87.138492999999997</v>
      </c>
      <c r="T1203" s="11" t="s">
        <v>14186</v>
      </c>
      <c r="U1203" s="11" t="s">
        <v>14187</v>
      </c>
      <c r="V1203" s="17" t="s">
        <v>14188</v>
      </c>
      <c r="W1203" s="17" t="s">
        <v>110</v>
      </c>
      <c r="X1203" s="70">
        <v>258</v>
      </c>
      <c r="Y1203" s="70">
        <v>235</v>
      </c>
      <c r="Z1203" s="13">
        <v>30833</v>
      </c>
      <c r="AA1203" s="13">
        <v>30874</v>
      </c>
      <c r="AB1203" s="13">
        <v>31057</v>
      </c>
      <c r="AC1203" s="13">
        <v>34340</v>
      </c>
      <c r="AD1203" s="86">
        <v>15850</v>
      </c>
      <c r="AE1203" s="86">
        <v>15850</v>
      </c>
      <c r="AF1203" s="70" t="s">
        <v>14189</v>
      </c>
      <c r="AG1203" s="17" t="s">
        <v>14190</v>
      </c>
      <c r="AH1203" s="17" t="s">
        <v>94</v>
      </c>
      <c r="AI1203" s="70" t="s">
        <v>14191</v>
      </c>
      <c r="AJ1203" s="17" t="s">
        <v>14192</v>
      </c>
      <c r="AK1203" s="17" t="s">
        <v>94</v>
      </c>
      <c r="AL1203" s="17" t="s">
        <v>14193</v>
      </c>
      <c r="AM1203" s="17" t="s">
        <v>94</v>
      </c>
      <c r="AN1203" s="17" t="s">
        <v>86</v>
      </c>
      <c r="AO1203" s="17" t="s">
        <v>14194</v>
      </c>
      <c r="AP1203" s="17" t="s">
        <v>14195</v>
      </c>
      <c r="AQ1203" s="17" t="s">
        <v>14196</v>
      </c>
      <c r="AR1203" s="17" t="s">
        <v>14197</v>
      </c>
      <c r="AS1203" s="23" t="s">
        <v>14198</v>
      </c>
      <c r="AT1203" s="17">
        <v>236</v>
      </c>
      <c r="AU1203" s="30" t="s">
        <v>14199</v>
      </c>
      <c r="AV1203" s="14">
        <v>15712</v>
      </c>
      <c r="AW1203" s="74"/>
      <c r="AX1203" s="1"/>
      <c r="AY1203" s="17" t="s">
        <v>101</v>
      </c>
    </row>
    <row r="1204" spans="1:51" ht="15" customHeight="1" x14ac:dyDescent="0.25">
      <c r="A1204" s="5">
        <v>1146</v>
      </c>
      <c r="B1204" s="9">
        <v>1146</v>
      </c>
      <c r="C1204" s="9" t="s">
        <v>14200</v>
      </c>
      <c r="D1204" s="57" t="str">
        <f>HYPERLINK("http://prodenv.dep.state.fl.us/DepNexus/public/electronic-documents/OG_1146/facility!search","OG_1146_Docs")</f>
        <v>OG_1146_Docs</v>
      </c>
      <c r="E1204" s="57" t="str">
        <f>HYPERLINK("https://ca.dep.state.fl.us/mapdirect/?focus=oilandgas&amp;zoom=query&amp;querytype=oilandgas&amp;queryvalues=OG_1146","OG_1146_Map")</f>
        <v>OG_1146_Map</v>
      </c>
      <c r="F1204" s="1" t="s">
        <v>1797</v>
      </c>
      <c r="G1204" s="1" t="s">
        <v>5133</v>
      </c>
      <c r="H1204" s="1" t="s">
        <v>8261</v>
      </c>
      <c r="I1204" s="1" t="s">
        <v>14201</v>
      </c>
      <c r="J1204" s="17" t="s">
        <v>268</v>
      </c>
      <c r="K1204" s="17" t="s">
        <v>412</v>
      </c>
      <c r="L1204" s="17"/>
      <c r="M1204" s="17"/>
      <c r="N1204" s="52" t="s">
        <v>14185</v>
      </c>
      <c r="O1204" s="17" t="s">
        <v>86</v>
      </c>
      <c r="P1204" s="17" t="s">
        <v>86</v>
      </c>
      <c r="Q1204" s="81" t="s">
        <v>5845</v>
      </c>
      <c r="R1204" s="11">
        <v>30.975860999999998</v>
      </c>
      <c r="S1204" s="11">
        <v>-87.149855000000002</v>
      </c>
      <c r="T1204" s="11" t="s">
        <v>14202</v>
      </c>
      <c r="U1204" s="11" t="s">
        <v>14203</v>
      </c>
      <c r="V1204" s="17" t="s">
        <v>14204</v>
      </c>
      <c r="W1204" s="17"/>
      <c r="X1204" s="70">
        <v>247.5</v>
      </c>
      <c r="Y1204" s="70">
        <v>224.5</v>
      </c>
      <c r="Z1204" s="13">
        <v>30831</v>
      </c>
      <c r="AA1204" s="13">
        <v>30982</v>
      </c>
      <c r="AB1204" s="13">
        <v>31124</v>
      </c>
      <c r="AC1204" s="13">
        <v>37996</v>
      </c>
      <c r="AD1204" s="86">
        <v>15872</v>
      </c>
      <c r="AE1204" s="86">
        <v>15886</v>
      </c>
      <c r="AF1204" s="71" t="s">
        <v>14205</v>
      </c>
      <c r="AG1204" s="23" t="s">
        <v>14206</v>
      </c>
      <c r="AH1204" s="17"/>
      <c r="AI1204" s="71" t="s">
        <v>14207</v>
      </c>
      <c r="AJ1204" s="23" t="s">
        <v>14208</v>
      </c>
      <c r="AK1204" s="17"/>
      <c r="AL1204" s="17"/>
      <c r="AM1204" s="17"/>
      <c r="AN1204" s="17"/>
      <c r="AO1204" s="23" t="s">
        <v>14209</v>
      </c>
      <c r="AP1204" s="23" t="s">
        <v>5601</v>
      </c>
      <c r="AQ1204" s="23" t="s">
        <v>425</v>
      </c>
      <c r="AR1204" s="23" t="s">
        <v>14210</v>
      </c>
      <c r="AS1204" s="23" t="s">
        <v>14211</v>
      </c>
      <c r="AT1204" s="17"/>
      <c r="AU1204" s="30" t="s">
        <v>14212</v>
      </c>
      <c r="AV1204" s="14">
        <v>15713</v>
      </c>
      <c r="AW1204" s="74"/>
      <c r="AX1204" s="1"/>
      <c r="AY1204" s="17" t="s">
        <v>101</v>
      </c>
    </row>
    <row r="1205" spans="1:51" ht="15" customHeight="1" x14ac:dyDescent="0.25">
      <c r="A1205" s="5">
        <v>1147</v>
      </c>
      <c r="B1205" s="9">
        <v>1147</v>
      </c>
      <c r="C1205" s="9" t="s">
        <v>14213</v>
      </c>
      <c r="D1205" s="57" t="str">
        <f>HYPERLINK("http://prodenv.dep.state.fl.us/DepNexus/public/electronic-documents/OG_1147/facility!search","OG_1147_Docs")</f>
        <v>OG_1147_Docs</v>
      </c>
      <c r="E1205" s="57" t="str">
        <f>HYPERLINK("https://ca.dep.state.fl.us/mapdirect/?focus=oilandgas&amp;zoom=query&amp;querytype=oilandgas&amp;queryvalues=OG_1147","OG_1147_Map")</f>
        <v>OG_1147_Map</v>
      </c>
      <c r="F1205" s="1" t="s">
        <v>1752</v>
      </c>
      <c r="G1205" s="1" t="s">
        <v>4496</v>
      </c>
      <c r="H1205" s="1" t="s">
        <v>8261</v>
      </c>
      <c r="I1205" s="1" t="s">
        <v>14214</v>
      </c>
      <c r="J1205" s="17" t="s">
        <v>82</v>
      </c>
      <c r="K1205" s="17" t="s">
        <v>83</v>
      </c>
      <c r="L1205" s="17"/>
      <c r="M1205" s="17" t="s">
        <v>101</v>
      </c>
      <c r="N1205" s="52" t="s">
        <v>13977</v>
      </c>
      <c r="O1205" s="17" t="s">
        <v>86</v>
      </c>
      <c r="P1205" s="17" t="s">
        <v>86</v>
      </c>
      <c r="Q1205" s="81" t="s">
        <v>14215</v>
      </c>
      <c r="R1205" s="11">
        <v>26.544363000000001</v>
      </c>
      <c r="S1205" s="11">
        <v>-81.537276000000006</v>
      </c>
      <c r="T1205" s="11" t="s">
        <v>14216</v>
      </c>
      <c r="U1205" s="11" t="s">
        <v>14217</v>
      </c>
      <c r="V1205" s="17" t="s">
        <v>14218</v>
      </c>
      <c r="W1205" s="17"/>
      <c r="X1205" s="70">
        <v>53.65</v>
      </c>
      <c r="Y1205" s="70">
        <v>32.549999999999997</v>
      </c>
      <c r="Z1205" s="13">
        <v>30833</v>
      </c>
      <c r="AA1205" s="13">
        <v>30932</v>
      </c>
      <c r="AB1205" s="13">
        <v>30958</v>
      </c>
      <c r="AC1205" s="13">
        <v>30958</v>
      </c>
      <c r="AD1205" s="86">
        <v>11545</v>
      </c>
      <c r="AE1205" s="86">
        <v>11545</v>
      </c>
      <c r="AF1205" s="71" t="s">
        <v>14219</v>
      </c>
      <c r="AG1205" s="23" t="s">
        <v>14220</v>
      </c>
      <c r="AH1205" s="23" t="s">
        <v>14221</v>
      </c>
      <c r="AI1205" s="71" t="s">
        <v>98</v>
      </c>
      <c r="AJ1205" s="23" t="s">
        <v>98</v>
      </c>
      <c r="AK1205" s="17" t="s">
        <v>95</v>
      </c>
      <c r="AL1205" s="17" t="s">
        <v>14222</v>
      </c>
      <c r="AM1205" s="17"/>
      <c r="AN1205" s="17"/>
      <c r="AO1205" s="17"/>
      <c r="AP1205" s="17"/>
      <c r="AQ1205" s="17"/>
      <c r="AR1205" s="17"/>
      <c r="AS1205" s="17"/>
      <c r="AT1205" s="17"/>
      <c r="AU1205" s="30" t="s">
        <v>14223</v>
      </c>
      <c r="AV1205" s="14">
        <v>15688</v>
      </c>
      <c r="AW1205" s="74"/>
      <c r="AX1205" s="1"/>
      <c r="AY1205" s="17" t="s">
        <v>101</v>
      </c>
    </row>
    <row r="1206" spans="1:51" ht="15" customHeight="1" x14ac:dyDescent="0.25">
      <c r="A1206" s="5">
        <v>1148</v>
      </c>
      <c r="B1206" s="9">
        <v>1148</v>
      </c>
      <c r="C1206" s="9" t="s">
        <v>14224</v>
      </c>
      <c r="D1206" s="57" t="str">
        <f>HYPERLINK("http://prodenv.dep.state.fl.us/DepNexus/public/electronic-documents/OG_1148/facility!search","OG_1148_Docs")</f>
        <v>OG_1148_Docs</v>
      </c>
      <c r="E1206" s="57" t="str">
        <f>HYPERLINK("https://ca.dep.state.fl.us/mapdirect/?focus=oilandgas&amp;zoom=query&amp;querytype=oilandgas&amp;queryvalues=OG_1148","OG_1148_Map")</f>
        <v>OG_1148_Map</v>
      </c>
      <c r="F1206" s="1" t="s">
        <v>1797</v>
      </c>
      <c r="G1206" s="1" t="s">
        <v>79</v>
      </c>
      <c r="H1206" s="1" t="s">
        <v>13987</v>
      </c>
      <c r="I1206" s="1" t="s">
        <v>14225</v>
      </c>
      <c r="J1206" s="17" t="s">
        <v>82</v>
      </c>
      <c r="K1206" s="17" t="s">
        <v>83</v>
      </c>
      <c r="L1206" s="17"/>
      <c r="M1206" s="17"/>
      <c r="N1206" s="52" t="s">
        <v>14226</v>
      </c>
      <c r="O1206" s="17" t="s">
        <v>86</v>
      </c>
      <c r="P1206" s="17" t="s">
        <v>86</v>
      </c>
      <c r="Q1206" s="81" t="s">
        <v>14227</v>
      </c>
      <c r="R1206" s="11">
        <v>30.787253</v>
      </c>
      <c r="S1206" s="11">
        <v>-87.070361000000005</v>
      </c>
      <c r="T1206" s="11" t="s">
        <v>14228</v>
      </c>
      <c r="U1206" s="11" t="s">
        <v>14229</v>
      </c>
      <c r="V1206" s="17" t="s">
        <v>14230</v>
      </c>
      <c r="W1206" s="17" t="s">
        <v>14230</v>
      </c>
      <c r="X1206" s="70">
        <v>213</v>
      </c>
      <c r="Y1206" s="70">
        <v>186</v>
      </c>
      <c r="Z1206" s="13">
        <v>30847</v>
      </c>
      <c r="AA1206" s="13">
        <v>30863</v>
      </c>
      <c r="AB1206" s="13">
        <v>30899</v>
      </c>
      <c r="AC1206" s="13">
        <v>30899</v>
      </c>
      <c r="AD1206" s="86">
        <v>16270</v>
      </c>
      <c r="AE1206" s="86">
        <v>16270</v>
      </c>
      <c r="AF1206" s="71" t="s">
        <v>98</v>
      </c>
      <c r="AG1206" s="23" t="s">
        <v>14231</v>
      </c>
      <c r="AH1206" s="17" t="s">
        <v>94</v>
      </c>
      <c r="AI1206" s="71" t="s">
        <v>98</v>
      </c>
      <c r="AJ1206" s="23" t="s">
        <v>98</v>
      </c>
      <c r="AK1206" s="17"/>
      <c r="AL1206" s="23" t="s">
        <v>14232</v>
      </c>
      <c r="AM1206" s="23" t="s">
        <v>95</v>
      </c>
      <c r="AN1206" s="23" t="s">
        <v>98</v>
      </c>
      <c r="AO1206" s="23" t="s">
        <v>98</v>
      </c>
      <c r="AP1206" s="23" t="s">
        <v>98</v>
      </c>
      <c r="AQ1206" s="23" t="s">
        <v>98</v>
      </c>
      <c r="AR1206" s="23" t="s">
        <v>98</v>
      </c>
      <c r="AS1206" s="23" t="s">
        <v>14233</v>
      </c>
      <c r="AT1206" s="17"/>
      <c r="AU1206" s="30" t="s">
        <v>14234</v>
      </c>
      <c r="AV1206" s="14">
        <v>15707</v>
      </c>
      <c r="AW1206" s="74"/>
      <c r="AX1206" s="1"/>
      <c r="AY1206" s="17" t="s">
        <v>101</v>
      </c>
    </row>
    <row r="1207" spans="1:51" ht="12.75" customHeight="1" x14ac:dyDescent="0.25">
      <c r="A1207" s="5">
        <v>1149</v>
      </c>
      <c r="B1207" s="9">
        <v>1149</v>
      </c>
      <c r="C1207" s="9" t="s">
        <v>14235</v>
      </c>
      <c r="D1207" s="57" t="str">
        <f>HYPERLINK("http://prodenv.dep.state.fl.us/DepNexus/public/electronic-documents/OG_1149/facility!search","OG_1149_Docs")</f>
        <v>OG_1149_Docs</v>
      </c>
      <c r="E1207" s="57" t="str">
        <f>HYPERLINK("https://ca.dep.state.fl.us/mapdirect/?focus=oilandgas&amp;zoom=query&amp;querytype=oilandgas&amp;queryvalues=OG_1149","OG_1149_Map")</f>
        <v>OG_1149_Map</v>
      </c>
      <c r="F1207" s="1" t="s">
        <v>265</v>
      </c>
      <c r="G1207" s="1" t="s">
        <v>10452</v>
      </c>
      <c r="H1207" s="1" t="s">
        <v>8318</v>
      </c>
      <c r="I1207" s="1" t="s">
        <v>14236</v>
      </c>
      <c r="J1207" s="17" t="s">
        <v>13881</v>
      </c>
      <c r="K1207" s="23" t="s">
        <v>412</v>
      </c>
      <c r="L1207" s="17"/>
      <c r="M1207" s="17" t="s">
        <v>101</v>
      </c>
      <c r="N1207" s="52" t="s">
        <v>14148</v>
      </c>
      <c r="O1207" s="17" t="s">
        <v>270</v>
      </c>
      <c r="P1207" s="17" t="s">
        <v>3395</v>
      </c>
      <c r="Q1207" s="81" t="s">
        <v>14237</v>
      </c>
      <c r="R1207" s="11">
        <v>25.999891999999999</v>
      </c>
      <c r="S1207" s="11">
        <v>-80.924384000000003</v>
      </c>
      <c r="T1207" s="11" t="s">
        <v>14238</v>
      </c>
      <c r="U1207" s="11" t="s">
        <v>14239</v>
      </c>
      <c r="V1207" s="20" t="s">
        <v>14240</v>
      </c>
      <c r="W1207" s="20" t="s">
        <v>14241</v>
      </c>
      <c r="X1207" s="70">
        <v>36</v>
      </c>
      <c r="Y1207" s="70">
        <v>13</v>
      </c>
      <c r="Z1207" s="13">
        <v>30887</v>
      </c>
      <c r="AA1207" s="13">
        <v>30984</v>
      </c>
      <c r="AB1207" s="13">
        <v>31057</v>
      </c>
      <c r="AC1207" s="13">
        <v>38441</v>
      </c>
      <c r="AD1207" s="86">
        <v>11363</v>
      </c>
      <c r="AE1207" s="86">
        <v>14656</v>
      </c>
      <c r="AF1207" s="70" t="s">
        <v>4868</v>
      </c>
      <c r="AG1207" s="17" t="s">
        <v>14242</v>
      </c>
      <c r="AH1207" s="17" t="s">
        <v>14243</v>
      </c>
      <c r="AI1207" s="70" t="s">
        <v>14244</v>
      </c>
      <c r="AJ1207" s="17" t="s">
        <v>14245</v>
      </c>
      <c r="AK1207" s="17" t="s">
        <v>94</v>
      </c>
      <c r="AL1207" s="17" t="s">
        <v>14246</v>
      </c>
      <c r="AM1207" s="17" t="s">
        <v>95</v>
      </c>
      <c r="AN1207" s="17"/>
      <c r="AO1207" s="17"/>
      <c r="AP1207" s="17"/>
      <c r="AQ1207" s="17"/>
      <c r="AR1207" s="17" t="s">
        <v>14247</v>
      </c>
      <c r="AS1207" s="17" t="s">
        <v>14248</v>
      </c>
      <c r="AT1207" s="17">
        <v>175</v>
      </c>
      <c r="AU1207" s="30" t="s">
        <v>14249</v>
      </c>
      <c r="AV1207" s="14">
        <v>15718</v>
      </c>
      <c r="AW1207" s="74"/>
      <c r="AX1207" s="1" t="s">
        <v>14250</v>
      </c>
      <c r="AY1207" s="17" t="s">
        <v>101</v>
      </c>
    </row>
    <row r="1208" spans="1:51" ht="12.75" customHeight="1" x14ac:dyDescent="0.25">
      <c r="A1208" s="5">
        <v>1149.0999999999999</v>
      </c>
      <c r="B1208" s="9" t="s">
        <v>14251</v>
      </c>
      <c r="C1208" s="9" t="s">
        <v>14235</v>
      </c>
      <c r="D1208" s="57" t="str">
        <f>HYPERLINK("http://prodenv.dep.state.fl.us/DepNexus/public/electronic-documents/OG_1149/facility!search","OG_1149_Docs")</f>
        <v>OG_1149_Docs</v>
      </c>
      <c r="E1208" s="57" t="str">
        <f>HYPERLINK("https://ca.dep.state.fl.us/mapdirect/?focus=oilandgas&amp;zoom=query&amp;querytype=oilandgas&amp;queryvalues=OG_1149","OG_1149_Map")</f>
        <v>OG_1149_Map</v>
      </c>
      <c r="F1208" s="1" t="s">
        <v>265</v>
      </c>
      <c r="G1208" s="1" t="s">
        <v>10452</v>
      </c>
      <c r="H1208" s="1" t="s">
        <v>1363</v>
      </c>
      <c r="I1208" s="19" t="s">
        <v>14252</v>
      </c>
      <c r="J1208" s="20" t="s">
        <v>3646</v>
      </c>
      <c r="K1208" s="17" t="s">
        <v>412</v>
      </c>
      <c r="L1208" s="17"/>
      <c r="M1208" s="17"/>
      <c r="N1208" s="52"/>
      <c r="O1208" s="17" t="s">
        <v>270</v>
      </c>
      <c r="P1208" s="17" t="s">
        <v>3395</v>
      </c>
      <c r="Q1208" s="81" t="s">
        <v>14237</v>
      </c>
      <c r="R1208" s="11">
        <v>25.999891999999999</v>
      </c>
      <c r="S1208" s="11">
        <v>-80.924384000000003</v>
      </c>
      <c r="T1208" s="11" t="s">
        <v>14238</v>
      </c>
      <c r="U1208" s="11" t="s">
        <v>14239</v>
      </c>
      <c r="V1208" s="20" t="s">
        <v>14240</v>
      </c>
      <c r="W1208" s="20" t="s">
        <v>14253</v>
      </c>
      <c r="X1208" s="70"/>
      <c r="Y1208" s="70"/>
      <c r="Z1208" s="13">
        <v>40591</v>
      </c>
      <c r="AA1208" s="13">
        <v>40695</v>
      </c>
      <c r="AB1208" s="13">
        <v>40695</v>
      </c>
      <c r="AC1208" s="13"/>
      <c r="AD1208" s="86">
        <v>11365</v>
      </c>
      <c r="AE1208" s="86">
        <v>14105</v>
      </c>
      <c r="AF1208" s="70" t="s">
        <v>4868</v>
      </c>
      <c r="AG1208" s="17" t="s">
        <v>14242</v>
      </c>
      <c r="AH1208" s="17" t="s">
        <v>14243</v>
      </c>
      <c r="AI1208" s="70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30" t="s">
        <v>14254</v>
      </c>
      <c r="AV1208" s="14"/>
      <c r="AW1208" s="74">
        <v>304275</v>
      </c>
      <c r="AX1208" s="73" t="s">
        <v>14255</v>
      </c>
      <c r="AY1208" s="17" t="s">
        <v>101</v>
      </c>
    </row>
    <row r="1209" spans="1:51" ht="15" customHeight="1" x14ac:dyDescent="0.25">
      <c r="A1209" s="5">
        <v>1150</v>
      </c>
      <c r="B1209" s="9">
        <v>1150</v>
      </c>
      <c r="C1209" s="9" t="s">
        <v>14256</v>
      </c>
      <c r="D1209" s="57" t="str">
        <f>HYPERLINK("http://prodenv.dep.state.fl.us/DepNexus/public/electronic-documents/OG_1150/facility!search","OG_1150_Docs")</f>
        <v>OG_1150_Docs</v>
      </c>
      <c r="E1209" s="57" t="str">
        <f>HYPERLINK("https://ca.dep.state.fl.us/mapdirect/?focus=oilandgas&amp;zoom=query&amp;querytype=oilandgas&amp;queryvalues=OG_1150","OG_1150_Map")</f>
        <v>OG_1150_Map</v>
      </c>
      <c r="F1209" s="1" t="s">
        <v>265</v>
      </c>
      <c r="G1209" s="1" t="s">
        <v>10452</v>
      </c>
      <c r="H1209" s="1" t="s">
        <v>8261</v>
      </c>
      <c r="I1209" s="1" t="s">
        <v>14257</v>
      </c>
      <c r="J1209" s="17" t="s">
        <v>268</v>
      </c>
      <c r="K1209" s="17" t="s">
        <v>412</v>
      </c>
      <c r="L1209" s="17"/>
      <c r="M1209" s="17"/>
      <c r="N1209" s="52" t="s">
        <v>14258</v>
      </c>
      <c r="O1209" s="17" t="s">
        <v>270</v>
      </c>
      <c r="P1209" s="17" t="s">
        <v>3395</v>
      </c>
      <c r="Q1209" s="81" t="s">
        <v>14259</v>
      </c>
      <c r="R1209" s="11">
        <v>25.998699999999999</v>
      </c>
      <c r="S1209" s="11">
        <v>-80.924490000000006</v>
      </c>
      <c r="T1209" s="11" t="s">
        <v>14260</v>
      </c>
      <c r="U1209" s="11" t="s">
        <v>14261</v>
      </c>
      <c r="V1209" s="17" t="s">
        <v>14262</v>
      </c>
      <c r="W1209" s="17" t="s">
        <v>14263</v>
      </c>
      <c r="X1209" s="70">
        <v>35</v>
      </c>
      <c r="Y1209" s="70">
        <v>13</v>
      </c>
      <c r="Z1209" s="13">
        <v>31054</v>
      </c>
      <c r="AA1209" s="13">
        <v>31191</v>
      </c>
      <c r="AB1209" s="13">
        <v>31361</v>
      </c>
      <c r="AC1209" s="13">
        <v>33809</v>
      </c>
      <c r="AD1209" s="86">
        <v>11600</v>
      </c>
      <c r="AE1209" s="86">
        <v>11654</v>
      </c>
      <c r="AF1209" s="70" t="s">
        <v>14264</v>
      </c>
      <c r="AG1209" s="17" t="s">
        <v>14265</v>
      </c>
      <c r="AH1209" s="17" t="s">
        <v>14266</v>
      </c>
      <c r="AI1209" s="70" t="s">
        <v>14267</v>
      </c>
      <c r="AJ1209" s="17" t="s">
        <v>14268</v>
      </c>
      <c r="AK1209" s="17" t="s">
        <v>95</v>
      </c>
      <c r="AL1209" s="17" t="s">
        <v>14269</v>
      </c>
      <c r="AM1209" s="17" t="s">
        <v>825</v>
      </c>
      <c r="AN1209" s="17" t="s">
        <v>86</v>
      </c>
      <c r="AO1209" s="17" t="s">
        <v>14270</v>
      </c>
      <c r="AP1209" s="17" t="s">
        <v>86</v>
      </c>
      <c r="AQ1209" s="17" t="s">
        <v>14271</v>
      </c>
      <c r="AR1209" s="17" t="s">
        <v>14272</v>
      </c>
      <c r="AS1209" s="17" t="s">
        <v>14273</v>
      </c>
      <c r="AT1209" s="17"/>
      <c r="AU1209" s="30" t="s">
        <v>14274</v>
      </c>
      <c r="AV1209" s="14" t="s">
        <v>94</v>
      </c>
      <c r="AW1209" s="74"/>
      <c r="AX1209" s="1"/>
      <c r="AY1209" s="17" t="s">
        <v>101</v>
      </c>
    </row>
    <row r="1210" spans="1:51" ht="15" customHeight="1" x14ac:dyDescent="0.25">
      <c r="A1210" s="5">
        <v>1151</v>
      </c>
      <c r="B1210" s="9">
        <v>1151</v>
      </c>
      <c r="C1210" s="9" t="s">
        <v>14275</v>
      </c>
      <c r="D1210" s="57" t="str">
        <f>HYPERLINK("http://prodenv.dep.state.fl.us/DepNexus/public/electronic-documents/OG_1151/facility!search","OG_1151_Docs")</f>
        <v>OG_1151_Docs</v>
      </c>
      <c r="E1210" s="57" t="str">
        <f>HYPERLINK("https://ca.dep.state.fl.us/mapdirect/?focus=oilandgas&amp;zoom=query&amp;querytype=oilandgas&amp;queryvalues=OG_1151","OG_1151_Map")</f>
        <v>OG_1151_Map</v>
      </c>
      <c r="F1210" s="1" t="s">
        <v>1752</v>
      </c>
      <c r="G1210" s="1" t="s">
        <v>13285</v>
      </c>
      <c r="H1210" s="1" t="s">
        <v>13845</v>
      </c>
      <c r="I1210" s="1" t="s">
        <v>14276</v>
      </c>
      <c r="J1210" s="17" t="s">
        <v>268</v>
      </c>
      <c r="K1210" s="17" t="s">
        <v>412</v>
      </c>
      <c r="L1210" s="17"/>
      <c r="M1210" s="17" t="s">
        <v>101</v>
      </c>
      <c r="N1210" s="52" t="s">
        <v>14277</v>
      </c>
      <c r="O1210" s="17" t="s">
        <v>86</v>
      </c>
      <c r="P1210" s="17" t="s">
        <v>86</v>
      </c>
      <c r="Q1210" s="81" t="s">
        <v>14278</v>
      </c>
      <c r="R1210" s="11">
        <v>26.596491</v>
      </c>
      <c r="S1210" s="11">
        <v>-81.511604000000005</v>
      </c>
      <c r="T1210" s="11" t="s">
        <v>14279</v>
      </c>
      <c r="U1210" s="11" t="s">
        <v>14280</v>
      </c>
      <c r="V1210" s="17" t="s">
        <v>14281</v>
      </c>
      <c r="W1210" s="17" t="s">
        <v>110</v>
      </c>
      <c r="X1210" s="70">
        <v>52</v>
      </c>
      <c r="Y1210" s="70">
        <v>31</v>
      </c>
      <c r="Z1210" s="13">
        <v>30844</v>
      </c>
      <c r="AA1210" s="13">
        <v>30873</v>
      </c>
      <c r="AB1210" s="13">
        <v>31003</v>
      </c>
      <c r="AC1210" s="13">
        <v>36748</v>
      </c>
      <c r="AD1210" s="86">
        <v>11492</v>
      </c>
      <c r="AE1210" s="86">
        <v>11492</v>
      </c>
      <c r="AF1210" s="70" t="s">
        <v>12799</v>
      </c>
      <c r="AG1210" s="17" t="s">
        <v>14282</v>
      </c>
      <c r="AH1210" s="17" t="s">
        <v>14283</v>
      </c>
      <c r="AI1210" s="70" t="s">
        <v>14284</v>
      </c>
      <c r="AJ1210" s="17" t="s">
        <v>14285</v>
      </c>
      <c r="AK1210" s="17" t="s">
        <v>95</v>
      </c>
      <c r="AL1210" s="17" t="s">
        <v>14286</v>
      </c>
      <c r="AM1210" s="17" t="s">
        <v>95</v>
      </c>
      <c r="AN1210" s="17" t="s">
        <v>14287</v>
      </c>
      <c r="AO1210" s="17" t="s">
        <v>14288</v>
      </c>
      <c r="AP1210" s="17" t="s">
        <v>7931</v>
      </c>
      <c r="AQ1210" s="17" t="s">
        <v>14289</v>
      </c>
      <c r="AR1210" s="17" t="s">
        <v>14290</v>
      </c>
      <c r="AS1210" s="17" t="s">
        <v>14291</v>
      </c>
      <c r="AT1210" s="17">
        <v>164</v>
      </c>
      <c r="AU1210" s="30" t="s">
        <v>14292</v>
      </c>
      <c r="AV1210" s="14">
        <v>15637</v>
      </c>
      <c r="AW1210" s="74"/>
      <c r="AX1210" s="1"/>
      <c r="AY1210" s="17" t="s">
        <v>101</v>
      </c>
    </row>
    <row r="1211" spans="1:51" ht="15" customHeight="1" x14ac:dyDescent="0.25">
      <c r="A1211" s="5">
        <v>1152</v>
      </c>
      <c r="B1211" s="9">
        <v>1152</v>
      </c>
      <c r="C1211" s="9" t="s">
        <v>14293</v>
      </c>
      <c r="D1211" s="57" t="str">
        <f>HYPERLINK("http://prodenv.dep.state.fl.us/DepNexus/public/electronic-documents/OG_1152/facility!search","OG_1152_Docs")</f>
        <v>OG_1152_Docs</v>
      </c>
      <c r="E1211" s="57" t="str">
        <f>HYPERLINK("https://ca.dep.state.fl.us/mapdirect/?focus=oilandgas&amp;zoom=query&amp;querytype=oilandgas&amp;queryvalues=OG_1152","OG_1152_Map")</f>
        <v>OG_1152_Map</v>
      </c>
      <c r="F1211" s="1" t="s">
        <v>1752</v>
      </c>
      <c r="G1211" s="1" t="s">
        <v>13285</v>
      </c>
      <c r="H1211" s="1" t="s">
        <v>12149</v>
      </c>
      <c r="I1211" s="1" t="s">
        <v>14294</v>
      </c>
      <c r="J1211" s="17" t="s">
        <v>207</v>
      </c>
      <c r="K1211" s="17" t="s">
        <v>208</v>
      </c>
      <c r="L1211" s="17"/>
      <c r="M1211" s="17" t="s">
        <v>207</v>
      </c>
      <c r="N1211" s="52" t="s">
        <v>207</v>
      </c>
      <c r="O1211" s="17" t="s">
        <v>86</v>
      </c>
      <c r="P1211" s="17" t="s">
        <v>86</v>
      </c>
      <c r="Q1211" s="81" t="s">
        <v>14295</v>
      </c>
      <c r="R1211" s="11">
        <v>26.589942000000001</v>
      </c>
      <c r="S1211" s="11">
        <v>-81.511747</v>
      </c>
      <c r="T1211" s="11" t="s">
        <v>14296</v>
      </c>
      <c r="U1211" s="11" t="s">
        <v>14297</v>
      </c>
      <c r="V1211" s="17" t="s">
        <v>14298</v>
      </c>
      <c r="W1211" s="17" t="s">
        <v>110</v>
      </c>
      <c r="X1211" s="71"/>
      <c r="Y1211" s="71"/>
      <c r="Z1211" s="13">
        <v>30844</v>
      </c>
      <c r="AA1211" s="26"/>
      <c r="AB1211" s="26"/>
      <c r="AC1211" s="26"/>
      <c r="AD1211" s="86"/>
      <c r="AE1211" s="86"/>
      <c r="AF1211" s="71" t="s">
        <v>207</v>
      </c>
      <c r="AG1211" s="27" t="s">
        <v>207</v>
      </c>
      <c r="AH1211" s="27" t="s">
        <v>207</v>
      </c>
      <c r="AI1211" s="71" t="s">
        <v>207</v>
      </c>
      <c r="AJ1211" s="27" t="s">
        <v>207</v>
      </c>
      <c r="AK1211" s="27" t="s">
        <v>207</v>
      </c>
      <c r="AL1211" s="27" t="s">
        <v>207</v>
      </c>
      <c r="AM1211" s="27" t="s">
        <v>207</v>
      </c>
      <c r="AN1211" s="27" t="s">
        <v>207</v>
      </c>
      <c r="AO1211" s="27" t="s">
        <v>207</v>
      </c>
      <c r="AP1211" s="27" t="s">
        <v>207</v>
      </c>
      <c r="AQ1211" s="27" t="s">
        <v>207</v>
      </c>
      <c r="AR1211" s="27" t="s">
        <v>207</v>
      </c>
      <c r="AS1211" s="27" t="s">
        <v>207</v>
      </c>
      <c r="AT1211" s="27" t="s">
        <v>207</v>
      </c>
      <c r="AU1211" s="30" t="s">
        <v>1843</v>
      </c>
      <c r="AV1211" s="27" t="s">
        <v>207</v>
      </c>
      <c r="AW1211" s="74"/>
      <c r="AX1211" s="1"/>
      <c r="AY1211" s="17" t="s">
        <v>101</v>
      </c>
    </row>
    <row r="1212" spans="1:51" ht="15" customHeight="1" x14ac:dyDescent="0.25">
      <c r="A1212" s="5">
        <v>1153</v>
      </c>
      <c r="B1212" s="9">
        <v>1153</v>
      </c>
      <c r="C1212" s="9" t="s">
        <v>14299</v>
      </c>
      <c r="D1212" s="57" t="str">
        <f>HYPERLINK("http://prodenv.dep.state.fl.us/DepNexus/public/electronic-documents/OG_1153/facility!search","OG_1153_Docs")</f>
        <v>OG_1153_Docs</v>
      </c>
      <c r="E1212" s="57" t="str">
        <f>HYPERLINK("https://ca.dep.state.fl.us/mapdirect/?focus=oilandgas&amp;zoom=query&amp;querytype=oilandgas&amp;queryvalues=OG_1153","OG_1153_Map")</f>
        <v>OG_1153_Map</v>
      </c>
      <c r="F1212" s="1" t="s">
        <v>1752</v>
      </c>
      <c r="G1212" s="1" t="s">
        <v>4496</v>
      </c>
      <c r="H1212" s="1" t="s">
        <v>8261</v>
      </c>
      <c r="I1212" s="1" t="s">
        <v>14057</v>
      </c>
      <c r="J1212" s="17" t="s">
        <v>268</v>
      </c>
      <c r="K1212" s="17" t="s">
        <v>412</v>
      </c>
      <c r="L1212" s="17"/>
      <c r="M1212" s="17"/>
      <c r="N1212" s="52" t="s">
        <v>14300</v>
      </c>
      <c r="O1212" s="17" t="s">
        <v>86</v>
      </c>
      <c r="P1212" s="17" t="s">
        <v>86</v>
      </c>
      <c r="Q1212" s="81" t="s">
        <v>14301</v>
      </c>
      <c r="R1212" s="11">
        <v>26.552757</v>
      </c>
      <c r="S1212" s="11">
        <v>-81.544751000000005</v>
      </c>
      <c r="T1212" s="11" t="s">
        <v>14302</v>
      </c>
      <c r="U1212" s="11" t="s">
        <v>14303</v>
      </c>
      <c r="V1212" s="17" t="s">
        <v>14304</v>
      </c>
      <c r="W1212" s="17" t="s">
        <v>110</v>
      </c>
      <c r="X1212" s="70">
        <v>53</v>
      </c>
      <c r="Y1212" s="70">
        <v>31</v>
      </c>
      <c r="Z1212" s="13">
        <v>30847</v>
      </c>
      <c r="AA1212" s="13">
        <v>30965</v>
      </c>
      <c r="AB1212" s="13">
        <v>31071</v>
      </c>
      <c r="AC1212" s="13">
        <v>32744</v>
      </c>
      <c r="AD1212" s="86">
        <v>11600</v>
      </c>
      <c r="AE1212" s="86">
        <v>11600</v>
      </c>
      <c r="AF1212" s="70" t="s">
        <v>14305</v>
      </c>
      <c r="AG1212" s="17" t="s">
        <v>14306</v>
      </c>
      <c r="AH1212" s="17" t="s">
        <v>14307</v>
      </c>
      <c r="AI1212" s="70" t="s">
        <v>14308</v>
      </c>
      <c r="AJ1212" s="17" t="s">
        <v>14309</v>
      </c>
      <c r="AK1212" s="17" t="s">
        <v>95</v>
      </c>
      <c r="AL1212" s="17" t="s">
        <v>14310</v>
      </c>
      <c r="AM1212" s="17" t="s">
        <v>95</v>
      </c>
      <c r="AN1212" s="17" t="s">
        <v>86</v>
      </c>
      <c r="AO1212" s="17" t="s">
        <v>3929</v>
      </c>
      <c r="AP1212" s="17" t="s">
        <v>12789</v>
      </c>
      <c r="AQ1212" s="17" t="s">
        <v>14311</v>
      </c>
      <c r="AR1212" s="17" t="s">
        <v>14312</v>
      </c>
      <c r="AS1212" s="17" t="s">
        <v>14313</v>
      </c>
      <c r="AT1212" s="17">
        <v>156</v>
      </c>
      <c r="AU1212" s="30" t="s">
        <v>14314</v>
      </c>
      <c r="AV1212" s="14">
        <v>15698</v>
      </c>
      <c r="AW1212" s="74"/>
      <c r="AX1212" s="1"/>
      <c r="AY1212" s="17" t="s">
        <v>101</v>
      </c>
    </row>
    <row r="1213" spans="1:51" ht="12.75" customHeight="1" x14ac:dyDescent="0.25">
      <c r="A1213" s="5">
        <v>1154</v>
      </c>
      <c r="B1213" s="9">
        <v>1154</v>
      </c>
      <c r="C1213" s="9" t="s">
        <v>14315</v>
      </c>
      <c r="D1213" s="57" t="str">
        <f>HYPERLINK("http://prodenv.dep.state.fl.us/DepNexus/public/electronic-documents/OG_1154/facility!search","OG_1154_Docs")</f>
        <v>OG_1154_Docs</v>
      </c>
      <c r="E1213" s="57" t="str">
        <f>HYPERLINK("https://ca.dep.state.fl.us/mapdirect/?focus=oilandgas&amp;zoom=query&amp;querytype=oilandgas&amp;queryvalues=OG_1154","OG_1154_Map")</f>
        <v>OG_1154_Map</v>
      </c>
      <c r="F1213" s="1" t="s">
        <v>1797</v>
      </c>
      <c r="G1213" s="1" t="s">
        <v>79</v>
      </c>
      <c r="H1213" s="1" t="s">
        <v>8261</v>
      </c>
      <c r="I1213" s="1" t="s">
        <v>14316</v>
      </c>
      <c r="J1213" s="17" t="s">
        <v>82</v>
      </c>
      <c r="K1213" s="17" t="s">
        <v>83</v>
      </c>
      <c r="L1213" s="17"/>
      <c r="M1213" s="17" t="s">
        <v>101</v>
      </c>
      <c r="N1213" s="52" t="s">
        <v>14317</v>
      </c>
      <c r="O1213" s="17" t="s">
        <v>1962</v>
      </c>
      <c r="P1213" s="17" t="s">
        <v>86</v>
      </c>
      <c r="Q1213" s="81" t="s">
        <v>14318</v>
      </c>
      <c r="R1213" s="11">
        <v>30.840043999999999</v>
      </c>
      <c r="S1213" s="11">
        <v>-86.801631999999998</v>
      </c>
      <c r="T1213" s="11" t="s">
        <v>14319</v>
      </c>
      <c r="U1213" s="11" t="s">
        <v>14320</v>
      </c>
      <c r="V1213" s="17" t="s">
        <v>14321</v>
      </c>
      <c r="W1213" s="17" t="s">
        <v>110</v>
      </c>
      <c r="X1213" s="70">
        <v>254</v>
      </c>
      <c r="Y1213" s="70">
        <v>227</v>
      </c>
      <c r="Z1213" s="13">
        <v>30879</v>
      </c>
      <c r="AA1213" s="13">
        <v>30955</v>
      </c>
      <c r="AB1213" s="13"/>
      <c r="AC1213" s="13">
        <v>30995</v>
      </c>
      <c r="AD1213" s="86">
        <v>15350</v>
      </c>
      <c r="AE1213" s="86">
        <v>15350</v>
      </c>
      <c r="AF1213" s="70" t="s">
        <v>14322</v>
      </c>
      <c r="AG1213" s="17" t="s">
        <v>14323</v>
      </c>
      <c r="AH1213" s="17" t="s">
        <v>86</v>
      </c>
      <c r="AI1213" s="70" t="s">
        <v>94</v>
      </c>
      <c r="AJ1213" s="17" t="s">
        <v>94</v>
      </c>
      <c r="AK1213" s="17" t="s">
        <v>95</v>
      </c>
      <c r="AL1213" s="17" t="s">
        <v>14324</v>
      </c>
      <c r="AM1213" s="17" t="s">
        <v>95</v>
      </c>
      <c r="AN1213" s="17" t="s">
        <v>86</v>
      </c>
      <c r="AO1213" s="17" t="s">
        <v>98</v>
      </c>
      <c r="AP1213" s="17" t="s">
        <v>98</v>
      </c>
      <c r="AQ1213" s="17" t="s">
        <v>98</v>
      </c>
      <c r="AR1213" s="17" t="s">
        <v>94</v>
      </c>
      <c r="AS1213" s="17" t="s">
        <v>14325</v>
      </c>
      <c r="AT1213" s="17">
        <v>249</v>
      </c>
      <c r="AU1213" s="30" t="s">
        <v>14326</v>
      </c>
      <c r="AV1213" s="14">
        <v>15715</v>
      </c>
      <c r="AW1213" s="74"/>
      <c r="AX1213" s="1"/>
      <c r="AY1213" s="17" t="s">
        <v>101</v>
      </c>
    </row>
    <row r="1214" spans="1:51" ht="15" customHeight="1" x14ac:dyDescent="0.25">
      <c r="A1214" s="5">
        <v>1155</v>
      </c>
      <c r="B1214" s="9">
        <v>1155</v>
      </c>
      <c r="C1214" s="9" t="s">
        <v>14327</v>
      </c>
      <c r="D1214" s="57" t="str">
        <f>HYPERLINK("http://prodenv.dep.state.fl.us/DepNexus/public/electronic-documents/OG_1155/facility!search","OG_1155_Docs")</f>
        <v>OG_1155_Docs</v>
      </c>
      <c r="E1214" s="57" t="str">
        <f>HYPERLINK("https://ca.dep.state.fl.us/mapdirect/?focus=oilandgas&amp;zoom=query&amp;querytype=oilandgas&amp;queryvalues=OG_1155","OG_1155_Map")</f>
        <v>OG_1155_Map</v>
      </c>
      <c r="F1214" s="1" t="s">
        <v>1682</v>
      </c>
      <c r="G1214" s="1" t="s">
        <v>13949</v>
      </c>
      <c r="H1214" s="1" t="s">
        <v>13950</v>
      </c>
      <c r="I1214" s="1" t="s">
        <v>14328</v>
      </c>
      <c r="J1214" s="17" t="s">
        <v>207</v>
      </c>
      <c r="K1214" s="17" t="s">
        <v>208</v>
      </c>
      <c r="L1214" s="17"/>
      <c r="M1214" s="17" t="s">
        <v>207</v>
      </c>
      <c r="N1214" s="52" t="s">
        <v>207</v>
      </c>
      <c r="O1214" s="17" t="s">
        <v>86</v>
      </c>
      <c r="P1214" s="17" t="s">
        <v>86</v>
      </c>
      <c r="Q1214" s="81" t="s">
        <v>14329</v>
      </c>
      <c r="R1214" s="11">
        <v>30.916723000000001</v>
      </c>
      <c r="S1214" s="11">
        <v>-87.349101000000005</v>
      </c>
      <c r="T1214" s="11" t="s">
        <v>14330</v>
      </c>
      <c r="U1214" s="11" t="s">
        <v>14331</v>
      </c>
      <c r="V1214" s="17" t="s">
        <v>14332</v>
      </c>
      <c r="W1214" s="17" t="s">
        <v>110</v>
      </c>
      <c r="X1214" s="70"/>
      <c r="Y1214" s="70"/>
      <c r="Z1214" s="13">
        <v>30880</v>
      </c>
      <c r="AA1214" s="13"/>
      <c r="AB1214" s="13"/>
      <c r="AC1214" s="13"/>
      <c r="AD1214" s="86"/>
      <c r="AE1214" s="86"/>
      <c r="AF1214" s="70" t="s">
        <v>207</v>
      </c>
      <c r="AG1214" s="14" t="s">
        <v>207</v>
      </c>
      <c r="AH1214" s="14" t="s">
        <v>207</v>
      </c>
      <c r="AI1214" s="70" t="s">
        <v>207</v>
      </c>
      <c r="AJ1214" s="14" t="s">
        <v>207</v>
      </c>
      <c r="AK1214" s="14" t="s">
        <v>207</v>
      </c>
      <c r="AL1214" s="14" t="s">
        <v>207</v>
      </c>
      <c r="AM1214" s="14" t="s">
        <v>207</v>
      </c>
      <c r="AN1214" s="14" t="s">
        <v>207</v>
      </c>
      <c r="AO1214" s="14" t="s">
        <v>207</v>
      </c>
      <c r="AP1214" s="14" t="s">
        <v>207</v>
      </c>
      <c r="AQ1214" s="14" t="s">
        <v>207</v>
      </c>
      <c r="AR1214" s="14" t="s">
        <v>207</v>
      </c>
      <c r="AS1214" s="14" t="s">
        <v>207</v>
      </c>
      <c r="AT1214" s="14" t="s">
        <v>207</v>
      </c>
      <c r="AU1214" s="30" t="s">
        <v>1843</v>
      </c>
      <c r="AV1214" s="14" t="s">
        <v>207</v>
      </c>
      <c r="AW1214" s="74"/>
      <c r="AX1214" s="1"/>
      <c r="AY1214" s="17" t="s">
        <v>101</v>
      </c>
    </row>
    <row r="1215" spans="1:51" ht="12.75" customHeight="1" x14ac:dyDescent="0.25">
      <c r="A1215" s="5">
        <v>1156</v>
      </c>
      <c r="B1215" s="9">
        <v>1156</v>
      </c>
      <c r="C1215" s="9" t="s">
        <v>14333</v>
      </c>
      <c r="D1215" s="57" t="str">
        <f>HYPERLINK("http://prodenv.dep.state.fl.us/DepNexus/public/electronic-documents/OG_1156/facility!search","OG_1156_Docs")</f>
        <v>OG_1156_Docs</v>
      </c>
      <c r="E1215" s="57" t="str">
        <f>HYPERLINK("https://ca.dep.state.fl.us/mapdirect/?focus=oilandgas&amp;zoom=query&amp;querytype=oilandgas&amp;queryvalues=OG_1156","OG_1156_Map")</f>
        <v>OG_1156_Map</v>
      </c>
      <c r="F1215" s="1" t="s">
        <v>1682</v>
      </c>
      <c r="G1215" s="1" t="s">
        <v>13949</v>
      </c>
      <c r="H1215" s="1" t="s">
        <v>13950</v>
      </c>
      <c r="I1215" s="1" t="s">
        <v>14334</v>
      </c>
      <c r="J1215" s="17" t="s">
        <v>207</v>
      </c>
      <c r="K1215" s="17" t="s">
        <v>208</v>
      </c>
      <c r="L1215" s="17"/>
      <c r="M1215" s="17" t="s">
        <v>207</v>
      </c>
      <c r="N1215" s="52" t="s">
        <v>207</v>
      </c>
      <c r="O1215" s="17" t="s">
        <v>86</v>
      </c>
      <c r="P1215" s="17" t="s">
        <v>86</v>
      </c>
      <c r="Q1215" s="81" t="s">
        <v>14335</v>
      </c>
      <c r="R1215" s="11">
        <v>30.912956000000001</v>
      </c>
      <c r="S1215" s="11">
        <v>-87.364245999999994</v>
      </c>
      <c r="T1215" s="11" t="s">
        <v>14336</v>
      </c>
      <c r="U1215" s="11" t="s">
        <v>14337</v>
      </c>
      <c r="V1215" s="17" t="s">
        <v>14338</v>
      </c>
      <c r="W1215" s="17" t="s">
        <v>110</v>
      </c>
      <c r="X1215" s="70"/>
      <c r="Y1215" s="70"/>
      <c r="Z1215" s="13">
        <v>30880</v>
      </c>
      <c r="AA1215" s="13"/>
      <c r="AB1215" s="13"/>
      <c r="AC1215" s="13"/>
      <c r="AD1215" s="86"/>
      <c r="AE1215" s="86"/>
      <c r="AF1215" s="70" t="s">
        <v>207</v>
      </c>
      <c r="AG1215" s="14" t="s">
        <v>207</v>
      </c>
      <c r="AH1215" s="14" t="s">
        <v>207</v>
      </c>
      <c r="AI1215" s="70" t="s">
        <v>207</v>
      </c>
      <c r="AJ1215" s="14" t="s">
        <v>207</v>
      </c>
      <c r="AK1215" s="14" t="s">
        <v>207</v>
      </c>
      <c r="AL1215" s="14" t="s">
        <v>207</v>
      </c>
      <c r="AM1215" s="14" t="s">
        <v>207</v>
      </c>
      <c r="AN1215" s="14" t="s">
        <v>207</v>
      </c>
      <c r="AO1215" s="14" t="s">
        <v>207</v>
      </c>
      <c r="AP1215" s="14" t="s">
        <v>207</v>
      </c>
      <c r="AQ1215" s="14" t="s">
        <v>207</v>
      </c>
      <c r="AR1215" s="14" t="s">
        <v>207</v>
      </c>
      <c r="AS1215" s="14" t="s">
        <v>207</v>
      </c>
      <c r="AT1215" s="14" t="s">
        <v>207</v>
      </c>
      <c r="AU1215" s="30" t="s">
        <v>1843</v>
      </c>
      <c r="AV1215" s="14" t="s">
        <v>207</v>
      </c>
      <c r="AW1215" s="74"/>
      <c r="AX1215" s="1"/>
      <c r="AY1215" s="17" t="s">
        <v>101</v>
      </c>
    </row>
    <row r="1216" spans="1:51" ht="12.75" customHeight="1" x14ac:dyDescent="0.25">
      <c r="A1216" s="5">
        <v>1157</v>
      </c>
      <c r="B1216" s="9">
        <v>1157</v>
      </c>
      <c r="C1216" s="9" t="s">
        <v>14339</v>
      </c>
      <c r="D1216" s="57" t="str">
        <f>HYPERLINK("http://prodenv.dep.state.fl.us/DepNexus/public/electronic-documents/OG_1157/facility!search","OG_1157_Docs")</f>
        <v>OG_1157_Docs</v>
      </c>
      <c r="E1216" s="57" t="str">
        <f>HYPERLINK("https://ca.dep.state.fl.us/mapdirect/?focus=oilandgas&amp;zoom=query&amp;querytype=oilandgas&amp;queryvalues=OG_1157","OG_1157_Map")</f>
        <v>OG_1157_Map</v>
      </c>
      <c r="F1216" s="1" t="s">
        <v>1682</v>
      </c>
      <c r="G1216" s="1" t="s">
        <v>13949</v>
      </c>
      <c r="H1216" s="1" t="s">
        <v>13950</v>
      </c>
      <c r="I1216" s="1" t="s">
        <v>14340</v>
      </c>
      <c r="J1216" s="17" t="s">
        <v>207</v>
      </c>
      <c r="K1216" s="17" t="s">
        <v>208</v>
      </c>
      <c r="L1216" s="17"/>
      <c r="M1216" s="17" t="s">
        <v>207</v>
      </c>
      <c r="N1216" s="52" t="s">
        <v>207</v>
      </c>
      <c r="O1216" s="17" t="s">
        <v>86</v>
      </c>
      <c r="P1216" s="17" t="s">
        <v>86</v>
      </c>
      <c r="Q1216" s="81" t="s">
        <v>14341</v>
      </c>
      <c r="R1216" s="11">
        <v>30.911543999999999</v>
      </c>
      <c r="S1216" s="11">
        <v>-87.359154000000004</v>
      </c>
      <c r="T1216" s="11" t="s">
        <v>14342</v>
      </c>
      <c r="U1216" s="11" t="s">
        <v>14343</v>
      </c>
      <c r="V1216" s="17" t="s">
        <v>14344</v>
      </c>
      <c r="W1216" s="17" t="s">
        <v>110</v>
      </c>
      <c r="X1216" s="70"/>
      <c r="Y1216" s="70"/>
      <c r="Z1216" s="13">
        <v>30880</v>
      </c>
      <c r="AA1216" s="13"/>
      <c r="AB1216" s="13"/>
      <c r="AC1216" s="13"/>
      <c r="AD1216" s="86"/>
      <c r="AE1216" s="86"/>
      <c r="AF1216" s="70" t="s">
        <v>207</v>
      </c>
      <c r="AG1216" s="14" t="s">
        <v>207</v>
      </c>
      <c r="AH1216" s="14" t="s">
        <v>207</v>
      </c>
      <c r="AI1216" s="70" t="s">
        <v>207</v>
      </c>
      <c r="AJ1216" s="14" t="s">
        <v>207</v>
      </c>
      <c r="AK1216" s="14" t="s">
        <v>207</v>
      </c>
      <c r="AL1216" s="14" t="s">
        <v>207</v>
      </c>
      <c r="AM1216" s="14" t="s">
        <v>207</v>
      </c>
      <c r="AN1216" s="14" t="s">
        <v>207</v>
      </c>
      <c r="AO1216" s="14" t="s">
        <v>207</v>
      </c>
      <c r="AP1216" s="14" t="s">
        <v>207</v>
      </c>
      <c r="AQ1216" s="14" t="s">
        <v>207</v>
      </c>
      <c r="AR1216" s="14" t="s">
        <v>207</v>
      </c>
      <c r="AS1216" s="14" t="s">
        <v>207</v>
      </c>
      <c r="AT1216" s="14" t="s">
        <v>207</v>
      </c>
      <c r="AU1216" s="30" t="s">
        <v>1843</v>
      </c>
      <c r="AV1216" s="14" t="s">
        <v>207</v>
      </c>
      <c r="AW1216" s="74"/>
      <c r="AX1216" s="1"/>
      <c r="AY1216" s="17" t="s">
        <v>101</v>
      </c>
    </row>
    <row r="1217" spans="1:51" ht="12.75" customHeight="1" x14ac:dyDescent="0.25">
      <c r="A1217" s="5">
        <v>1158</v>
      </c>
      <c r="B1217" s="9">
        <v>1158</v>
      </c>
      <c r="C1217" s="9" t="s">
        <v>14345</v>
      </c>
      <c r="D1217" s="57" t="str">
        <f>HYPERLINK("http://prodenv.dep.state.fl.us/DepNexus/public/electronic-documents/OG_1158/facility!search","OG_1158_Docs")</f>
        <v>OG_1158_Docs</v>
      </c>
      <c r="E1217" s="57" t="str">
        <f>HYPERLINK("https://ca.dep.state.fl.us/mapdirect/?focus=oilandgas&amp;zoom=query&amp;querytype=oilandgas&amp;queryvalues=OG_1158","OG_1158_Map")</f>
        <v>OG_1158_Map</v>
      </c>
      <c r="F1217" s="1" t="s">
        <v>2026</v>
      </c>
      <c r="G1217" s="1" t="s">
        <v>9085</v>
      </c>
      <c r="H1217" s="1" t="s">
        <v>8261</v>
      </c>
      <c r="I1217" s="1" t="s">
        <v>14346</v>
      </c>
      <c r="J1217" s="17" t="s">
        <v>82</v>
      </c>
      <c r="K1217" s="17" t="s">
        <v>83</v>
      </c>
      <c r="L1217" s="17"/>
      <c r="M1217" s="17" t="s">
        <v>84</v>
      </c>
      <c r="N1217" s="52" t="s">
        <v>12795</v>
      </c>
      <c r="O1217" s="17" t="s">
        <v>86</v>
      </c>
      <c r="P1217" s="17" t="s">
        <v>86</v>
      </c>
      <c r="Q1217" s="81" t="s">
        <v>14347</v>
      </c>
      <c r="R1217" s="11">
        <v>26.625062</v>
      </c>
      <c r="S1217" s="11">
        <v>-81.642319000000001</v>
      </c>
      <c r="T1217" s="11" t="s">
        <v>14348</v>
      </c>
      <c r="U1217" s="11" t="s">
        <v>14349</v>
      </c>
      <c r="V1217" s="17" t="s">
        <v>12627</v>
      </c>
      <c r="W1217" s="17" t="s">
        <v>14350</v>
      </c>
      <c r="X1217" s="70">
        <v>45</v>
      </c>
      <c r="Y1217" s="70">
        <v>23</v>
      </c>
      <c r="Z1217" s="13">
        <v>30893</v>
      </c>
      <c r="AA1217" s="13">
        <v>30930</v>
      </c>
      <c r="AB1217" s="13"/>
      <c r="AC1217" s="13">
        <v>30977</v>
      </c>
      <c r="AD1217" s="86">
        <v>11509</v>
      </c>
      <c r="AE1217" s="86">
        <v>12836</v>
      </c>
      <c r="AF1217" s="70" t="s">
        <v>12180</v>
      </c>
      <c r="AG1217" s="17" t="s">
        <v>12629</v>
      </c>
      <c r="AH1217" s="17" t="s">
        <v>14351</v>
      </c>
      <c r="AI1217" s="70" t="s">
        <v>94</v>
      </c>
      <c r="AJ1217" s="17" t="s">
        <v>94</v>
      </c>
      <c r="AK1217" s="17" t="s">
        <v>95</v>
      </c>
      <c r="AL1217" s="17" t="s">
        <v>14352</v>
      </c>
      <c r="AM1217" s="17" t="s">
        <v>825</v>
      </c>
      <c r="AN1217" s="17" t="s">
        <v>86</v>
      </c>
      <c r="AO1217" s="17" t="s">
        <v>98</v>
      </c>
      <c r="AP1217" s="17" t="s">
        <v>98</v>
      </c>
      <c r="AQ1217" s="17" t="s">
        <v>98</v>
      </c>
      <c r="AR1217" s="17" t="s">
        <v>94</v>
      </c>
      <c r="AS1217" s="17" t="s">
        <v>14353</v>
      </c>
      <c r="AT1217" s="17">
        <v>169</v>
      </c>
      <c r="AU1217" s="30" t="s">
        <v>14354</v>
      </c>
      <c r="AV1217" s="14">
        <v>15697</v>
      </c>
      <c r="AW1217" s="74"/>
      <c r="AX1217" s="1" t="s">
        <v>14355</v>
      </c>
      <c r="AY1217" s="17" t="s">
        <v>101</v>
      </c>
    </row>
    <row r="1218" spans="1:51" ht="12.75" customHeight="1" x14ac:dyDescent="0.25">
      <c r="A1218" s="5">
        <v>1159</v>
      </c>
      <c r="B1218" s="9">
        <v>1159</v>
      </c>
      <c r="C1218" s="9" t="s">
        <v>14356</v>
      </c>
      <c r="D1218" s="57" t="str">
        <f>HYPERLINK("http://prodenv.dep.state.fl.us/DepNexus/public/electronic-documents/OG_1159/facility!search","OG_1159_Docs")</f>
        <v>OG_1159_Docs</v>
      </c>
      <c r="E1218" s="57" t="str">
        <f>HYPERLINK("https://ca.dep.state.fl.us/mapdirect/?focus=oilandgas&amp;zoom=query&amp;querytype=oilandgas&amp;queryvalues=OG_1159","OG_1159_Map")</f>
        <v>OG_1159_Map</v>
      </c>
      <c r="F1218" s="1" t="s">
        <v>1797</v>
      </c>
      <c r="G1218" s="1" t="s">
        <v>79</v>
      </c>
      <c r="H1218" s="1" t="s">
        <v>14357</v>
      </c>
      <c r="I1218" s="1" t="s">
        <v>14358</v>
      </c>
      <c r="J1218" s="17" t="s">
        <v>82</v>
      </c>
      <c r="K1218" s="17" t="s">
        <v>83</v>
      </c>
      <c r="L1218" s="17"/>
      <c r="M1218" s="17"/>
      <c r="N1218" s="52" t="s">
        <v>14359</v>
      </c>
      <c r="O1218" s="17" t="s">
        <v>86</v>
      </c>
      <c r="P1218" s="17" t="s">
        <v>86</v>
      </c>
      <c r="Q1218" s="81" t="s">
        <v>14360</v>
      </c>
      <c r="R1218" s="11">
        <v>30.759134</v>
      </c>
      <c r="S1218" s="11">
        <v>-87.028794000000005</v>
      </c>
      <c r="T1218" s="11" t="s">
        <v>14361</v>
      </c>
      <c r="U1218" s="11" t="s">
        <v>14362</v>
      </c>
      <c r="V1218" s="17" t="s">
        <v>14363</v>
      </c>
      <c r="W1218" s="17" t="s">
        <v>110</v>
      </c>
      <c r="X1218" s="70">
        <v>222</v>
      </c>
      <c r="Y1218" s="70">
        <v>202</v>
      </c>
      <c r="Z1218" s="13">
        <v>30911</v>
      </c>
      <c r="AA1218" s="13">
        <v>31101</v>
      </c>
      <c r="AB1218" s="13"/>
      <c r="AC1218" s="13">
        <v>31150</v>
      </c>
      <c r="AD1218" s="86">
        <v>16744</v>
      </c>
      <c r="AE1218" s="86">
        <v>16744</v>
      </c>
      <c r="AF1218" s="70" t="s">
        <v>14364</v>
      </c>
      <c r="AG1218" s="17" t="s">
        <v>14365</v>
      </c>
      <c r="AH1218" s="17" t="s">
        <v>86</v>
      </c>
      <c r="AI1218" s="70" t="s">
        <v>94</v>
      </c>
      <c r="AJ1218" s="17" t="s">
        <v>94</v>
      </c>
      <c r="AK1218" s="17" t="s">
        <v>95</v>
      </c>
      <c r="AL1218" s="17" t="s">
        <v>14366</v>
      </c>
      <c r="AM1218" s="17" t="s">
        <v>95</v>
      </c>
      <c r="AN1218" s="17" t="s">
        <v>86</v>
      </c>
      <c r="AO1218" s="17" t="s">
        <v>98</v>
      </c>
      <c r="AP1218" s="17" t="s">
        <v>98</v>
      </c>
      <c r="AQ1218" s="17" t="s">
        <v>98</v>
      </c>
      <c r="AR1218" s="17" t="s">
        <v>94</v>
      </c>
      <c r="AS1218" s="17" t="s">
        <v>14367</v>
      </c>
      <c r="AT1218" s="17">
        <v>268</v>
      </c>
      <c r="AU1218" s="30" t="s">
        <v>14368</v>
      </c>
      <c r="AV1218" s="14">
        <v>15746</v>
      </c>
      <c r="AW1218" s="74"/>
      <c r="AX1218" s="1"/>
      <c r="AY1218" s="17" t="s">
        <v>101</v>
      </c>
    </row>
    <row r="1219" spans="1:51" ht="12.75" customHeight="1" x14ac:dyDescent="0.25">
      <c r="A1219" s="5">
        <v>1160</v>
      </c>
      <c r="B1219" s="9">
        <v>1160</v>
      </c>
      <c r="C1219" s="9" t="s">
        <v>14369</v>
      </c>
      <c r="D1219" s="57" t="str">
        <f>HYPERLINK("http://prodenv.dep.state.fl.us/DepNexus/public/electronic-documents/OG_1160/facility!search","OG_1160_Docs")</f>
        <v>OG_1160_Docs</v>
      </c>
      <c r="E1219" s="57" t="str">
        <f>HYPERLINK("https://ca.dep.state.fl.us/mapdirect/?focus=oilandgas&amp;zoom=query&amp;querytype=oilandgas&amp;queryvalues=OG_1160","OG_1160_Map")</f>
        <v>OG_1160_Map</v>
      </c>
      <c r="F1219" s="1" t="s">
        <v>1797</v>
      </c>
      <c r="G1219" s="1" t="s">
        <v>79</v>
      </c>
      <c r="H1219" s="1" t="s">
        <v>13606</v>
      </c>
      <c r="I1219" s="1" t="s">
        <v>14370</v>
      </c>
      <c r="J1219" s="17" t="s">
        <v>82</v>
      </c>
      <c r="K1219" s="17" t="s">
        <v>83</v>
      </c>
      <c r="L1219" s="17"/>
      <c r="M1219" s="17"/>
      <c r="N1219" s="52" t="s">
        <v>13489</v>
      </c>
      <c r="O1219" s="17" t="s">
        <v>86</v>
      </c>
      <c r="P1219" s="17" t="s">
        <v>86</v>
      </c>
      <c r="Q1219" s="81" t="s">
        <v>14371</v>
      </c>
      <c r="R1219" s="11">
        <v>30.948430999999999</v>
      </c>
      <c r="S1219" s="11">
        <v>-87.109392999999997</v>
      </c>
      <c r="T1219" s="11" t="s">
        <v>14372</v>
      </c>
      <c r="U1219" s="11" t="s">
        <v>14373</v>
      </c>
      <c r="V1219" s="17" t="s">
        <v>14374</v>
      </c>
      <c r="W1219" s="17" t="s">
        <v>110</v>
      </c>
      <c r="X1219" s="70">
        <v>259</v>
      </c>
      <c r="Y1219" s="70">
        <v>240</v>
      </c>
      <c r="Z1219" s="13">
        <v>30929</v>
      </c>
      <c r="AA1219" s="13">
        <v>30974</v>
      </c>
      <c r="AB1219" s="13"/>
      <c r="AC1219" s="13">
        <v>31076</v>
      </c>
      <c r="AD1219" s="86">
        <v>15300</v>
      </c>
      <c r="AE1219" s="86">
        <v>15300</v>
      </c>
      <c r="AF1219" s="70" t="s">
        <v>14375</v>
      </c>
      <c r="AG1219" s="17" t="s">
        <v>14376</v>
      </c>
      <c r="AH1219" s="17" t="s">
        <v>86</v>
      </c>
      <c r="AI1219" s="70" t="s">
        <v>94</v>
      </c>
      <c r="AJ1219" s="17" t="s">
        <v>94</v>
      </c>
      <c r="AK1219" s="17" t="s">
        <v>95</v>
      </c>
      <c r="AL1219" s="17" t="s">
        <v>14377</v>
      </c>
      <c r="AM1219" s="17" t="s">
        <v>825</v>
      </c>
      <c r="AN1219" s="17" t="s">
        <v>86</v>
      </c>
      <c r="AO1219" s="17" t="s">
        <v>98</v>
      </c>
      <c r="AP1219" s="17" t="s">
        <v>98</v>
      </c>
      <c r="AQ1219" s="17" t="s">
        <v>98</v>
      </c>
      <c r="AR1219" s="17" t="s">
        <v>94</v>
      </c>
      <c r="AS1219" s="17" t="s">
        <v>14378</v>
      </c>
      <c r="AT1219" s="17">
        <v>251</v>
      </c>
      <c r="AU1219" s="30" t="s">
        <v>14379</v>
      </c>
      <c r="AV1219" s="14">
        <v>15711</v>
      </c>
      <c r="AW1219" s="74"/>
      <c r="AX1219" s="1"/>
      <c r="AY1219" s="17" t="s">
        <v>101</v>
      </c>
    </row>
    <row r="1220" spans="1:51" ht="12.75" customHeight="1" x14ac:dyDescent="0.25">
      <c r="A1220" s="5">
        <v>1161</v>
      </c>
      <c r="B1220" s="9">
        <v>1161</v>
      </c>
      <c r="C1220" s="9" t="s">
        <v>14380</v>
      </c>
      <c r="D1220" s="57" t="str">
        <f>HYPERLINK("http://prodenv.dep.state.fl.us/DepNexus/public/electronic-documents/OG_1161/facility!search","OG_1161_Docs")</f>
        <v>OG_1161_Docs</v>
      </c>
      <c r="E1220" s="57" t="str">
        <f>HYPERLINK("https://ca.dep.state.fl.us/mapdirect/?focus=oilandgas&amp;zoom=query&amp;querytype=oilandgas&amp;queryvalues=OG_1161","OG_1161_Map")</f>
        <v>OG_1161_Map</v>
      </c>
      <c r="F1220" s="1" t="s">
        <v>1682</v>
      </c>
      <c r="G1220" s="1" t="s">
        <v>79</v>
      </c>
      <c r="H1220" s="1" t="s">
        <v>14381</v>
      </c>
      <c r="I1220" s="1" t="s">
        <v>14382</v>
      </c>
      <c r="J1220" s="17" t="s">
        <v>207</v>
      </c>
      <c r="K1220" s="17" t="s">
        <v>208</v>
      </c>
      <c r="L1220" s="17"/>
      <c r="M1220" s="17" t="s">
        <v>207</v>
      </c>
      <c r="N1220" s="52" t="s">
        <v>207</v>
      </c>
      <c r="O1220" s="17" t="s">
        <v>86</v>
      </c>
      <c r="P1220" s="17" t="s">
        <v>86</v>
      </c>
      <c r="Q1220" s="81" t="s">
        <v>14383</v>
      </c>
      <c r="R1220" s="11">
        <v>30.989063000000002</v>
      </c>
      <c r="S1220" s="11">
        <v>-87.339251000000004</v>
      </c>
      <c r="T1220" s="11" t="s">
        <v>14384</v>
      </c>
      <c r="U1220" s="11" t="s">
        <v>14385</v>
      </c>
      <c r="V1220" s="17" t="s">
        <v>14386</v>
      </c>
      <c r="W1220" s="17" t="s">
        <v>110</v>
      </c>
      <c r="X1220" s="70"/>
      <c r="Y1220" s="70"/>
      <c r="Z1220" s="13">
        <v>30981</v>
      </c>
      <c r="AA1220" s="13"/>
      <c r="AB1220" s="13"/>
      <c r="AC1220" s="13"/>
      <c r="AD1220" s="86"/>
      <c r="AE1220" s="86"/>
      <c r="AF1220" s="70" t="s">
        <v>207</v>
      </c>
      <c r="AG1220" s="14" t="s">
        <v>207</v>
      </c>
      <c r="AH1220" s="14" t="s">
        <v>207</v>
      </c>
      <c r="AI1220" s="70" t="s">
        <v>207</v>
      </c>
      <c r="AJ1220" s="14" t="s">
        <v>207</v>
      </c>
      <c r="AK1220" s="14" t="s">
        <v>207</v>
      </c>
      <c r="AL1220" s="14" t="s">
        <v>207</v>
      </c>
      <c r="AM1220" s="14" t="s">
        <v>207</v>
      </c>
      <c r="AN1220" s="14" t="s">
        <v>207</v>
      </c>
      <c r="AO1220" s="14" t="s">
        <v>207</v>
      </c>
      <c r="AP1220" s="14" t="s">
        <v>207</v>
      </c>
      <c r="AQ1220" s="14" t="s">
        <v>207</v>
      </c>
      <c r="AR1220" s="14" t="s">
        <v>207</v>
      </c>
      <c r="AS1220" s="14" t="s">
        <v>207</v>
      </c>
      <c r="AT1220" s="14" t="s">
        <v>207</v>
      </c>
      <c r="AU1220" s="30" t="s">
        <v>1843</v>
      </c>
      <c r="AV1220" s="14" t="s">
        <v>207</v>
      </c>
      <c r="AW1220" s="74"/>
      <c r="AX1220" s="1"/>
      <c r="AY1220" s="17" t="s">
        <v>101</v>
      </c>
    </row>
    <row r="1221" spans="1:51" ht="12.75" customHeight="1" x14ac:dyDescent="0.25">
      <c r="A1221" s="5">
        <v>1162</v>
      </c>
      <c r="B1221" s="9">
        <v>1162</v>
      </c>
      <c r="C1221" s="9" t="s">
        <v>14387</v>
      </c>
      <c r="D1221" s="57" t="str">
        <f>HYPERLINK("http://prodenv.dep.state.fl.us/DepNexus/public/electronic-documents/OG_1162/facility!search","OG_1162_Docs")</f>
        <v>OG_1162_Docs</v>
      </c>
      <c r="E1221" s="57" t="str">
        <f>HYPERLINK("https://ca.dep.state.fl.us/mapdirect/?focus=oilandgas&amp;zoom=query&amp;querytype=oilandgas&amp;queryvalues=OG_1162","OG_1162_Map")</f>
        <v>OG_1162_Map</v>
      </c>
      <c r="F1221" s="1" t="s">
        <v>265</v>
      </c>
      <c r="G1221" s="1" t="s">
        <v>10452</v>
      </c>
      <c r="H1221" s="1" t="s">
        <v>8261</v>
      </c>
      <c r="I1221" s="1" t="s">
        <v>14388</v>
      </c>
      <c r="J1221" s="17" t="s">
        <v>268</v>
      </c>
      <c r="K1221" s="17" t="s">
        <v>412</v>
      </c>
      <c r="L1221" s="17"/>
      <c r="M1221" s="17"/>
      <c r="N1221" s="52" t="s">
        <v>14389</v>
      </c>
      <c r="O1221" s="17" t="s">
        <v>270</v>
      </c>
      <c r="P1221" s="17" t="s">
        <v>3395</v>
      </c>
      <c r="Q1221" s="81" t="s">
        <v>14390</v>
      </c>
      <c r="R1221" s="11">
        <v>25.999248999999999</v>
      </c>
      <c r="S1221" s="11">
        <v>-80.924412000000004</v>
      </c>
      <c r="T1221" s="11" t="s">
        <v>14391</v>
      </c>
      <c r="U1221" s="11" t="s">
        <v>14392</v>
      </c>
      <c r="V1221" s="17" t="s">
        <v>14393</v>
      </c>
      <c r="W1221" s="17" t="s">
        <v>14394</v>
      </c>
      <c r="X1221" s="70">
        <v>35</v>
      </c>
      <c r="Y1221" s="70">
        <v>13</v>
      </c>
      <c r="Z1221" s="13">
        <v>31064</v>
      </c>
      <c r="AA1221" s="13">
        <v>31118</v>
      </c>
      <c r="AB1221" s="13">
        <v>31410</v>
      </c>
      <c r="AC1221" s="13">
        <v>33833</v>
      </c>
      <c r="AD1221" s="86"/>
      <c r="AE1221" s="86">
        <v>12370</v>
      </c>
      <c r="AF1221" s="70" t="s">
        <v>14395</v>
      </c>
      <c r="AG1221" s="17" t="s">
        <v>14396</v>
      </c>
      <c r="AH1221" s="17" t="s">
        <v>14397</v>
      </c>
      <c r="AI1221" s="70" t="s">
        <v>14398</v>
      </c>
      <c r="AJ1221" s="17" t="s">
        <v>14399</v>
      </c>
      <c r="AK1221" s="17" t="s">
        <v>825</v>
      </c>
      <c r="AL1221" s="17" t="s">
        <v>14400</v>
      </c>
      <c r="AM1221" s="17" t="s">
        <v>825</v>
      </c>
      <c r="AN1221" s="17" t="s">
        <v>86</v>
      </c>
      <c r="AO1221" s="17" t="s">
        <v>14401</v>
      </c>
      <c r="AP1221" s="17" t="s">
        <v>6135</v>
      </c>
      <c r="AQ1221" s="17" t="s">
        <v>14402</v>
      </c>
      <c r="AR1221" s="17" t="s">
        <v>14403</v>
      </c>
      <c r="AS1221" s="17" t="s">
        <v>14404</v>
      </c>
      <c r="AT1221" s="17">
        <v>174</v>
      </c>
      <c r="AU1221" s="30" t="s">
        <v>14405</v>
      </c>
      <c r="AV1221" s="14">
        <v>15755</v>
      </c>
      <c r="AW1221" s="74"/>
      <c r="AX1221" s="1"/>
      <c r="AY1221" s="17" t="s">
        <v>101</v>
      </c>
    </row>
    <row r="1222" spans="1:51" ht="12.75" customHeight="1" x14ac:dyDescent="0.25">
      <c r="A1222" s="5">
        <v>1163</v>
      </c>
      <c r="B1222" s="9">
        <v>1163</v>
      </c>
      <c r="C1222" s="9" t="s">
        <v>14406</v>
      </c>
      <c r="D1222" s="57" t="str">
        <f>HYPERLINK("http://prodenv.dep.state.fl.us/DepNexus/public/electronic-documents/OG_1163/facility!search","OG_1163_Docs")</f>
        <v>OG_1163_Docs</v>
      </c>
      <c r="E1222" s="57" t="str">
        <f>HYPERLINK("https://ca.dep.state.fl.us/mapdirect/?focus=oilandgas&amp;zoom=query&amp;querytype=oilandgas&amp;queryvalues=OG_1163","OG_1163_Map")</f>
        <v>OG_1163_Map</v>
      </c>
      <c r="F1222" s="1" t="s">
        <v>265</v>
      </c>
      <c r="G1222" s="1" t="s">
        <v>10452</v>
      </c>
      <c r="H1222" s="1" t="s">
        <v>8261</v>
      </c>
      <c r="I1222" s="1" t="s">
        <v>14407</v>
      </c>
      <c r="J1222" s="17" t="s">
        <v>207</v>
      </c>
      <c r="K1222" s="17" t="s">
        <v>208</v>
      </c>
      <c r="L1222" s="17"/>
      <c r="M1222" s="17" t="s">
        <v>207</v>
      </c>
      <c r="N1222" s="52" t="s">
        <v>207</v>
      </c>
      <c r="O1222" s="17" t="s">
        <v>270</v>
      </c>
      <c r="P1222" s="17" t="s">
        <v>3395</v>
      </c>
      <c r="Q1222" s="81" t="s">
        <v>14408</v>
      </c>
      <c r="R1222" s="11">
        <v>26.000147999999999</v>
      </c>
      <c r="S1222" s="11">
        <v>-80.924301</v>
      </c>
      <c r="T1222" s="11" t="s">
        <v>14409</v>
      </c>
      <c r="U1222" s="11" t="s">
        <v>14410</v>
      </c>
      <c r="V1222" s="17" t="s">
        <v>14411</v>
      </c>
      <c r="W1222" s="17" t="s">
        <v>14412</v>
      </c>
      <c r="X1222" s="70"/>
      <c r="Y1222" s="70"/>
      <c r="Z1222" s="13">
        <v>31064</v>
      </c>
      <c r="AA1222" s="13"/>
      <c r="AB1222" s="13"/>
      <c r="AC1222" s="13"/>
      <c r="AD1222" s="86"/>
      <c r="AE1222" s="86"/>
      <c r="AF1222" s="70" t="s">
        <v>207</v>
      </c>
      <c r="AG1222" s="14" t="s">
        <v>207</v>
      </c>
      <c r="AH1222" s="14" t="s">
        <v>207</v>
      </c>
      <c r="AI1222" s="70" t="s">
        <v>207</v>
      </c>
      <c r="AJ1222" s="14" t="s">
        <v>207</v>
      </c>
      <c r="AK1222" s="14" t="s">
        <v>207</v>
      </c>
      <c r="AL1222" s="14" t="s">
        <v>207</v>
      </c>
      <c r="AM1222" s="14" t="s">
        <v>207</v>
      </c>
      <c r="AN1222" s="14" t="s">
        <v>207</v>
      </c>
      <c r="AO1222" s="14" t="s">
        <v>207</v>
      </c>
      <c r="AP1222" s="14" t="s">
        <v>207</v>
      </c>
      <c r="AQ1222" s="14" t="s">
        <v>207</v>
      </c>
      <c r="AR1222" s="14" t="s">
        <v>207</v>
      </c>
      <c r="AS1222" s="14" t="s">
        <v>207</v>
      </c>
      <c r="AT1222" s="14" t="s">
        <v>207</v>
      </c>
      <c r="AU1222" s="30" t="s">
        <v>1843</v>
      </c>
      <c r="AV1222" s="14" t="s">
        <v>207</v>
      </c>
      <c r="AW1222" s="74"/>
      <c r="AX1222" s="1"/>
      <c r="AY1222" s="17" t="s">
        <v>101</v>
      </c>
    </row>
    <row r="1223" spans="1:51" ht="15" customHeight="1" x14ac:dyDescent="0.25">
      <c r="A1223" s="5">
        <v>1164</v>
      </c>
      <c r="B1223" s="9">
        <v>1164</v>
      </c>
      <c r="C1223" s="9" t="s">
        <v>14413</v>
      </c>
      <c r="D1223" s="57" t="str">
        <f>HYPERLINK("http://prodenv.dep.state.fl.us/DepNexus/public/electronic-documents/OG_1164/facility!search","OG_1164_Docs")</f>
        <v>OG_1164_Docs</v>
      </c>
      <c r="E1223" s="57" t="str">
        <f>HYPERLINK("https://ca.dep.state.fl.us/mapdirect/?focus=oilandgas&amp;zoom=query&amp;querytype=oilandgas&amp;queryvalues=OG_1164","OG_1164_Map")</f>
        <v>OG_1164_Map</v>
      </c>
      <c r="F1223" s="1" t="s">
        <v>1797</v>
      </c>
      <c r="G1223" s="1" t="s">
        <v>1798</v>
      </c>
      <c r="H1223" s="1" t="s">
        <v>5605</v>
      </c>
      <c r="I1223" s="1" t="s">
        <v>14414</v>
      </c>
      <c r="J1223" s="17" t="s">
        <v>82</v>
      </c>
      <c r="K1223" s="17" t="s">
        <v>83</v>
      </c>
      <c r="L1223" s="17"/>
      <c r="M1223" s="17"/>
      <c r="N1223" s="52" t="s">
        <v>14415</v>
      </c>
      <c r="O1223" s="17" t="s">
        <v>86</v>
      </c>
      <c r="P1223" s="17" t="s">
        <v>86</v>
      </c>
      <c r="Q1223" s="81" t="s">
        <v>8496</v>
      </c>
      <c r="R1223" s="11">
        <v>30.990323</v>
      </c>
      <c r="S1223" s="11">
        <v>-87.125440999999995</v>
      </c>
      <c r="T1223" s="11" t="s">
        <v>14416</v>
      </c>
      <c r="U1223" s="11" t="s">
        <v>14417</v>
      </c>
      <c r="V1223" s="17" t="s">
        <v>14418</v>
      </c>
      <c r="W1223" s="17" t="s">
        <v>14419</v>
      </c>
      <c r="X1223" s="70">
        <v>209</v>
      </c>
      <c r="Y1223" s="70">
        <v>181</v>
      </c>
      <c r="Z1223" s="13">
        <v>31001</v>
      </c>
      <c r="AA1223" s="13">
        <v>31044</v>
      </c>
      <c r="AB1223" s="13"/>
      <c r="AC1223" s="13">
        <v>31139</v>
      </c>
      <c r="AD1223" s="86">
        <v>15231</v>
      </c>
      <c r="AE1223" s="86">
        <v>15231</v>
      </c>
      <c r="AF1223" s="70" t="s">
        <v>14420</v>
      </c>
      <c r="AG1223" s="17" t="s">
        <v>14421</v>
      </c>
      <c r="AH1223" s="17" t="s">
        <v>86</v>
      </c>
      <c r="AI1223" s="70" t="s">
        <v>94</v>
      </c>
      <c r="AJ1223" s="17" t="s">
        <v>94</v>
      </c>
      <c r="AK1223" s="17" t="s">
        <v>825</v>
      </c>
      <c r="AL1223" s="17" t="s">
        <v>14422</v>
      </c>
      <c r="AM1223" s="17" t="s">
        <v>95</v>
      </c>
      <c r="AN1223" s="17" t="s">
        <v>95</v>
      </c>
      <c r="AO1223" s="17" t="s">
        <v>98</v>
      </c>
      <c r="AP1223" s="17" t="s">
        <v>98</v>
      </c>
      <c r="AQ1223" s="17" t="s">
        <v>98</v>
      </c>
      <c r="AR1223" s="17" t="s">
        <v>94</v>
      </c>
      <c r="AS1223" s="17" t="s">
        <v>14423</v>
      </c>
      <c r="AT1223" s="17">
        <v>247</v>
      </c>
      <c r="AU1223" s="30" t="s">
        <v>14424</v>
      </c>
      <c r="AV1223" s="14">
        <v>15734</v>
      </c>
      <c r="AW1223" s="74"/>
      <c r="AX1223" s="1"/>
      <c r="AY1223" s="17" t="s">
        <v>101</v>
      </c>
    </row>
    <row r="1224" spans="1:51" ht="12.75" customHeight="1" x14ac:dyDescent="0.25">
      <c r="A1224" s="5">
        <v>1165</v>
      </c>
      <c r="B1224" s="9">
        <v>1165</v>
      </c>
      <c r="C1224" s="9" t="s">
        <v>14425</v>
      </c>
      <c r="D1224" s="57" t="str">
        <f>HYPERLINK("http://prodenv.dep.state.fl.us/DepNexus/public/electronic-documents/OG_1165/facility!search","OG_1165_Docs")</f>
        <v>OG_1165_Docs</v>
      </c>
      <c r="E1224" s="57" t="str">
        <f>HYPERLINK("https://ca.dep.state.fl.us/mapdirect/?focus=oilandgas&amp;zoom=query&amp;querytype=oilandgas&amp;queryvalues=OG_1165","OG_1165_Map")</f>
        <v>OG_1165_Map</v>
      </c>
      <c r="F1224" s="1" t="s">
        <v>2026</v>
      </c>
      <c r="G1224" s="1" t="s">
        <v>79</v>
      </c>
      <c r="H1224" s="1" t="s">
        <v>8261</v>
      </c>
      <c r="I1224" s="1" t="s">
        <v>14426</v>
      </c>
      <c r="J1224" s="17" t="s">
        <v>82</v>
      </c>
      <c r="K1224" s="17" t="s">
        <v>83</v>
      </c>
      <c r="L1224" s="17"/>
      <c r="M1224" s="17"/>
      <c r="N1224" s="52" t="s">
        <v>7568</v>
      </c>
      <c r="O1224" s="17" t="s">
        <v>86</v>
      </c>
      <c r="P1224" s="17" t="s">
        <v>86</v>
      </c>
      <c r="Q1224" s="81" t="s">
        <v>14427</v>
      </c>
      <c r="R1224" s="11">
        <v>26.52244</v>
      </c>
      <c r="S1224" s="11">
        <v>-81.632566999999995</v>
      </c>
      <c r="T1224" s="11" t="s">
        <v>14428</v>
      </c>
      <c r="U1224" s="11" t="s">
        <v>14429</v>
      </c>
      <c r="V1224" s="17" t="s">
        <v>14430</v>
      </c>
      <c r="W1224" s="17" t="s">
        <v>110</v>
      </c>
      <c r="X1224" s="70">
        <v>52</v>
      </c>
      <c r="Y1224" s="70">
        <v>30</v>
      </c>
      <c r="Z1224" s="13">
        <v>31020</v>
      </c>
      <c r="AA1224" s="13">
        <v>31154</v>
      </c>
      <c r="AB1224" s="13"/>
      <c r="AC1224" s="13">
        <v>31186</v>
      </c>
      <c r="AD1224" s="86">
        <v>11800</v>
      </c>
      <c r="AE1224" s="86">
        <v>11800</v>
      </c>
      <c r="AF1224" s="70" t="s">
        <v>14431</v>
      </c>
      <c r="AG1224" s="17" t="s">
        <v>14432</v>
      </c>
      <c r="AH1224" s="17" t="s">
        <v>14433</v>
      </c>
      <c r="AI1224" s="70" t="s">
        <v>94</v>
      </c>
      <c r="AJ1224" s="17" t="s">
        <v>94</v>
      </c>
      <c r="AK1224" s="17" t="s">
        <v>95</v>
      </c>
      <c r="AL1224" s="17" t="s">
        <v>14434</v>
      </c>
      <c r="AM1224" s="17" t="s">
        <v>825</v>
      </c>
      <c r="AN1224" s="17" t="s">
        <v>86</v>
      </c>
      <c r="AO1224" s="17" t="s">
        <v>98</v>
      </c>
      <c r="AP1224" s="17" t="s">
        <v>98</v>
      </c>
      <c r="AQ1224" s="17" t="s">
        <v>98</v>
      </c>
      <c r="AR1224" s="17" t="s">
        <v>94</v>
      </c>
      <c r="AS1224" s="17" t="s">
        <v>14435</v>
      </c>
      <c r="AT1224" s="17">
        <v>182</v>
      </c>
      <c r="AU1224" s="30" t="s">
        <v>14436</v>
      </c>
      <c r="AV1224" s="14">
        <v>15756</v>
      </c>
      <c r="AW1224" s="74"/>
      <c r="AX1224" s="1"/>
      <c r="AY1224" s="17" t="s">
        <v>101</v>
      </c>
    </row>
    <row r="1225" spans="1:51" ht="12.75" customHeight="1" x14ac:dyDescent="0.25">
      <c r="A1225" s="5">
        <v>1166</v>
      </c>
      <c r="B1225" s="9">
        <v>1166</v>
      </c>
      <c r="C1225" s="9" t="s">
        <v>14437</v>
      </c>
      <c r="D1225" s="57" t="str">
        <f>HYPERLINK("http://prodenv.dep.state.fl.us/DepNexus/public/electronic-documents/OG_1166/facility!search","OG_1166_Docs")</f>
        <v>OG_1166_Docs</v>
      </c>
      <c r="E1225" s="57" t="str">
        <f>HYPERLINK("https://ca.dep.state.fl.us/mapdirect/?focus=oilandgas&amp;zoom=query&amp;querytype=oilandgas&amp;queryvalues=OG_1166","OG_1166_Map")</f>
        <v>OG_1166_Map</v>
      </c>
      <c r="F1225" s="1" t="s">
        <v>265</v>
      </c>
      <c r="G1225" s="1" t="s">
        <v>79</v>
      </c>
      <c r="H1225" s="1" t="s">
        <v>14084</v>
      </c>
      <c r="I1225" s="1" t="s">
        <v>14438</v>
      </c>
      <c r="J1225" s="17" t="s">
        <v>207</v>
      </c>
      <c r="K1225" s="17" t="s">
        <v>208</v>
      </c>
      <c r="L1225" s="17"/>
      <c r="M1225" s="17" t="s">
        <v>207</v>
      </c>
      <c r="N1225" s="52" t="s">
        <v>207</v>
      </c>
      <c r="O1225" s="17" t="s">
        <v>270</v>
      </c>
      <c r="P1225" s="17" t="s">
        <v>86</v>
      </c>
      <c r="Q1225" s="81" t="s">
        <v>14439</v>
      </c>
      <c r="R1225" s="11">
        <v>26.262373</v>
      </c>
      <c r="S1225" s="11">
        <v>-81.378895</v>
      </c>
      <c r="T1225" s="11" t="s">
        <v>14440</v>
      </c>
      <c r="U1225" s="11" t="s">
        <v>14441</v>
      </c>
      <c r="V1225" s="17" t="s">
        <v>14442</v>
      </c>
      <c r="W1225" s="17" t="s">
        <v>110</v>
      </c>
      <c r="X1225" s="70"/>
      <c r="Y1225" s="70"/>
      <c r="Z1225" s="13">
        <v>31069</v>
      </c>
      <c r="AA1225" s="13"/>
      <c r="AB1225" s="13"/>
      <c r="AC1225" s="13"/>
      <c r="AD1225" s="86"/>
      <c r="AE1225" s="86"/>
      <c r="AF1225" s="70" t="s">
        <v>207</v>
      </c>
      <c r="AG1225" s="14" t="s">
        <v>207</v>
      </c>
      <c r="AH1225" s="14" t="s">
        <v>207</v>
      </c>
      <c r="AI1225" s="70" t="s">
        <v>207</v>
      </c>
      <c r="AJ1225" s="14" t="s">
        <v>207</v>
      </c>
      <c r="AK1225" s="14" t="s">
        <v>207</v>
      </c>
      <c r="AL1225" s="14" t="s">
        <v>207</v>
      </c>
      <c r="AM1225" s="14" t="s">
        <v>207</v>
      </c>
      <c r="AN1225" s="14" t="s">
        <v>207</v>
      </c>
      <c r="AO1225" s="14" t="s">
        <v>207</v>
      </c>
      <c r="AP1225" s="14" t="s">
        <v>207</v>
      </c>
      <c r="AQ1225" s="14" t="s">
        <v>207</v>
      </c>
      <c r="AR1225" s="14" t="s">
        <v>207</v>
      </c>
      <c r="AS1225" s="14" t="s">
        <v>207</v>
      </c>
      <c r="AT1225" s="14" t="s">
        <v>207</v>
      </c>
      <c r="AU1225" s="30" t="s">
        <v>1843</v>
      </c>
      <c r="AV1225" s="14" t="s">
        <v>207</v>
      </c>
      <c r="AW1225" s="74"/>
      <c r="AX1225" s="1"/>
      <c r="AY1225" s="17" t="s">
        <v>101</v>
      </c>
    </row>
    <row r="1226" spans="1:51" ht="12.75" customHeight="1" x14ac:dyDescent="0.25">
      <c r="A1226" s="5">
        <v>1167</v>
      </c>
      <c r="B1226" s="9">
        <v>1167</v>
      </c>
      <c r="C1226" s="9" t="s">
        <v>14443</v>
      </c>
      <c r="D1226" s="57" t="str">
        <f>HYPERLINK("http://prodenv.dep.state.fl.us/DepNexus/public/electronic-documents/OG_1167/facility!search","OG_1167_Docs")</f>
        <v>OG_1167_Docs</v>
      </c>
      <c r="E1226" s="57" t="str">
        <f>HYPERLINK("https://ca.dep.state.fl.us/mapdirect/?focus=oilandgas&amp;zoom=query&amp;querytype=oilandgas&amp;queryvalues=OG_1167","OG_1167_Map")</f>
        <v>OG_1167_Map</v>
      </c>
      <c r="F1226" s="1" t="s">
        <v>265</v>
      </c>
      <c r="G1226" s="1" t="s">
        <v>10452</v>
      </c>
      <c r="H1226" s="1" t="s">
        <v>8318</v>
      </c>
      <c r="I1226" s="1" t="s">
        <v>14444</v>
      </c>
      <c r="J1226" s="17" t="s">
        <v>268</v>
      </c>
      <c r="K1226" s="17" t="s">
        <v>5048</v>
      </c>
      <c r="L1226" s="17"/>
      <c r="M1226" s="17" t="s">
        <v>101</v>
      </c>
      <c r="N1226" s="52" t="s">
        <v>6945</v>
      </c>
      <c r="O1226" s="17" t="s">
        <v>270</v>
      </c>
      <c r="P1226" s="17" t="s">
        <v>3395</v>
      </c>
      <c r="Q1226" s="81" t="s">
        <v>14237</v>
      </c>
      <c r="R1226" s="11">
        <v>26.000914999999999</v>
      </c>
      <c r="S1226" s="11">
        <v>-80.924222999999998</v>
      </c>
      <c r="T1226" s="11" t="s">
        <v>14445</v>
      </c>
      <c r="U1226" s="11" t="s">
        <v>14446</v>
      </c>
      <c r="V1226" s="17" t="s">
        <v>14447</v>
      </c>
      <c r="W1226" s="17" t="s">
        <v>14448</v>
      </c>
      <c r="X1226" s="70">
        <v>35</v>
      </c>
      <c r="Y1226" s="70">
        <v>14</v>
      </c>
      <c r="Z1226" s="13">
        <v>31125</v>
      </c>
      <c r="AA1226" s="13">
        <v>31254</v>
      </c>
      <c r="AB1226" s="13">
        <v>31615</v>
      </c>
      <c r="AC1226" s="13">
        <v>37070</v>
      </c>
      <c r="AD1226" s="86">
        <v>11491</v>
      </c>
      <c r="AE1226" s="86">
        <v>13670</v>
      </c>
      <c r="AF1226" s="70" t="s">
        <v>14449</v>
      </c>
      <c r="AG1226" s="17" t="s">
        <v>12869</v>
      </c>
      <c r="AH1226" s="17" t="s">
        <v>14450</v>
      </c>
      <c r="AI1226" s="70" t="s">
        <v>14451</v>
      </c>
      <c r="AJ1226" s="17" t="s">
        <v>14452</v>
      </c>
      <c r="AK1226" s="17" t="s">
        <v>95</v>
      </c>
      <c r="AL1226" s="17" t="s">
        <v>14453</v>
      </c>
      <c r="AM1226" s="17" t="s">
        <v>95</v>
      </c>
      <c r="AN1226" s="17" t="s">
        <v>86</v>
      </c>
      <c r="AO1226" s="17" t="s">
        <v>86</v>
      </c>
      <c r="AP1226" s="17" t="s">
        <v>86</v>
      </c>
      <c r="AQ1226" s="17" t="s">
        <v>14454</v>
      </c>
      <c r="AR1226" s="17" t="s">
        <v>14455</v>
      </c>
      <c r="AS1226" s="17" t="s">
        <v>14456</v>
      </c>
      <c r="AT1226" s="17">
        <v>165</v>
      </c>
      <c r="AU1226" s="30" t="s">
        <v>14457</v>
      </c>
      <c r="AV1226" s="14">
        <v>15859</v>
      </c>
      <c r="AW1226" s="74"/>
      <c r="AX1226" s="1"/>
      <c r="AY1226" s="17" t="s">
        <v>101</v>
      </c>
    </row>
    <row r="1227" spans="1:51" ht="12.75" customHeight="1" x14ac:dyDescent="0.25">
      <c r="A1227" s="5">
        <v>1168</v>
      </c>
      <c r="B1227" s="9">
        <v>1168</v>
      </c>
      <c r="C1227" s="9" t="s">
        <v>14458</v>
      </c>
      <c r="D1227" s="57" t="str">
        <f>HYPERLINK("http://prodenv.dep.state.fl.us/DepNexus/public/electronic-documents/OG_1168/facility!search","OG_1168_Docs")</f>
        <v>OG_1168_Docs</v>
      </c>
      <c r="E1227" s="57" t="str">
        <f>HYPERLINK("https://ca.dep.state.fl.us/mapdirect/?focus=oilandgas&amp;zoom=query&amp;querytype=oilandgas&amp;queryvalues=OG_1168","OG_1168_Map")</f>
        <v>OG_1168_Map</v>
      </c>
      <c r="F1227" s="1" t="s">
        <v>265</v>
      </c>
      <c r="G1227" s="1" t="s">
        <v>10452</v>
      </c>
      <c r="H1227" s="1" t="s">
        <v>8261</v>
      </c>
      <c r="I1227" s="1" t="s">
        <v>14459</v>
      </c>
      <c r="J1227" s="17" t="s">
        <v>207</v>
      </c>
      <c r="K1227" s="17" t="s">
        <v>208</v>
      </c>
      <c r="L1227" s="17"/>
      <c r="M1227" s="17" t="s">
        <v>207</v>
      </c>
      <c r="N1227" s="52" t="s">
        <v>207</v>
      </c>
      <c r="O1227" s="17" t="s">
        <v>270</v>
      </c>
      <c r="P1227" s="17" t="s">
        <v>3395</v>
      </c>
      <c r="Q1227" s="81" t="s">
        <v>14259</v>
      </c>
      <c r="R1227" s="11">
        <v>26.000653</v>
      </c>
      <c r="S1227" s="11">
        <v>-80.924137000000002</v>
      </c>
      <c r="T1227" s="11" t="s">
        <v>14460</v>
      </c>
      <c r="U1227" s="11" t="s">
        <v>14461</v>
      </c>
      <c r="V1227" s="17" t="s">
        <v>14462</v>
      </c>
      <c r="W1227" s="17" t="s">
        <v>14463</v>
      </c>
      <c r="X1227" s="70"/>
      <c r="Y1227" s="70"/>
      <c r="Z1227" s="13">
        <v>31125</v>
      </c>
      <c r="AA1227" s="13"/>
      <c r="AB1227" s="13"/>
      <c r="AC1227" s="13"/>
      <c r="AD1227" s="86"/>
      <c r="AE1227" s="86"/>
      <c r="AF1227" s="70" t="s">
        <v>207</v>
      </c>
      <c r="AG1227" s="14" t="s">
        <v>207</v>
      </c>
      <c r="AH1227" s="14" t="s">
        <v>207</v>
      </c>
      <c r="AI1227" s="70" t="s">
        <v>207</v>
      </c>
      <c r="AJ1227" s="14" t="s">
        <v>207</v>
      </c>
      <c r="AK1227" s="14" t="s">
        <v>207</v>
      </c>
      <c r="AL1227" s="14" t="s">
        <v>207</v>
      </c>
      <c r="AM1227" s="14" t="s">
        <v>207</v>
      </c>
      <c r="AN1227" s="14" t="s">
        <v>207</v>
      </c>
      <c r="AO1227" s="14" t="s">
        <v>207</v>
      </c>
      <c r="AP1227" s="14" t="s">
        <v>207</v>
      </c>
      <c r="AQ1227" s="14" t="s">
        <v>207</v>
      </c>
      <c r="AR1227" s="14" t="s">
        <v>207</v>
      </c>
      <c r="AS1227" s="14" t="s">
        <v>207</v>
      </c>
      <c r="AT1227" s="14" t="s">
        <v>207</v>
      </c>
      <c r="AU1227" s="30" t="s">
        <v>1843</v>
      </c>
      <c r="AV1227" s="14" t="s">
        <v>207</v>
      </c>
      <c r="AW1227" s="74"/>
      <c r="AX1227" s="1"/>
      <c r="AY1227" s="17" t="s">
        <v>101</v>
      </c>
    </row>
    <row r="1228" spans="1:51" ht="15" customHeight="1" x14ac:dyDescent="0.25">
      <c r="A1228" s="5">
        <v>1169</v>
      </c>
      <c r="B1228" s="9">
        <v>1169</v>
      </c>
      <c r="C1228" s="9" t="s">
        <v>14464</v>
      </c>
      <c r="D1228" s="57" t="str">
        <f>HYPERLINK("http://prodenv.dep.state.fl.us/DepNexus/public/electronic-documents/OG_1169/facility!search","OG_1169_Docs")</f>
        <v>OG_1169_Docs</v>
      </c>
      <c r="E1228" s="57" t="str">
        <f>HYPERLINK("https://ca.dep.state.fl.us/mapdirect/?focus=oilandgas&amp;zoom=query&amp;querytype=oilandgas&amp;queryvalues=OG_1169","OG_1169_Map")</f>
        <v>OG_1169_Map</v>
      </c>
      <c r="F1228" s="1" t="s">
        <v>14465</v>
      </c>
      <c r="G1228" s="1" t="s">
        <v>79</v>
      </c>
      <c r="H1228" s="1" t="s">
        <v>14466</v>
      </c>
      <c r="I1228" s="1" t="s">
        <v>14467</v>
      </c>
      <c r="J1228" s="17" t="s">
        <v>82</v>
      </c>
      <c r="K1228" s="17" t="s">
        <v>83</v>
      </c>
      <c r="L1228" s="17"/>
      <c r="M1228" s="17" t="s">
        <v>101</v>
      </c>
      <c r="N1228" s="52" t="s">
        <v>14468</v>
      </c>
      <c r="O1228" s="17" t="s">
        <v>270</v>
      </c>
      <c r="P1228" s="17" t="s">
        <v>14469</v>
      </c>
      <c r="Q1228" s="81" t="s">
        <v>14470</v>
      </c>
      <c r="R1228" s="11">
        <v>26.185563999999999</v>
      </c>
      <c r="S1228" s="11">
        <v>-80.852103</v>
      </c>
      <c r="T1228" s="11" t="s">
        <v>14471</v>
      </c>
      <c r="U1228" s="11" t="s">
        <v>14472</v>
      </c>
      <c r="V1228" s="17" t="s">
        <v>14473</v>
      </c>
      <c r="W1228" s="17" t="s">
        <v>110</v>
      </c>
      <c r="X1228" s="70">
        <v>34</v>
      </c>
      <c r="Y1228" s="70">
        <v>13</v>
      </c>
      <c r="Z1228" s="13">
        <v>31141</v>
      </c>
      <c r="AA1228" s="13">
        <v>31193</v>
      </c>
      <c r="AB1228" s="13">
        <v>31226</v>
      </c>
      <c r="AC1228" s="13">
        <v>31226</v>
      </c>
      <c r="AD1228" s="86">
        <v>11604</v>
      </c>
      <c r="AE1228" s="86">
        <v>11604</v>
      </c>
      <c r="AF1228" s="70" t="s">
        <v>14474</v>
      </c>
      <c r="AG1228" s="17" t="s">
        <v>14475</v>
      </c>
      <c r="AH1228" s="17" t="s">
        <v>13427</v>
      </c>
      <c r="AI1228" s="70" t="s">
        <v>94</v>
      </c>
      <c r="AJ1228" s="17" t="s">
        <v>94</v>
      </c>
      <c r="AK1228" s="17" t="s">
        <v>95</v>
      </c>
      <c r="AL1228" s="17" t="s">
        <v>14476</v>
      </c>
      <c r="AM1228" s="17" t="s">
        <v>95</v>
      </c>
      <c r="AN1228" s="17" t="s">
        <v>86</v>
      </c>
      <c r="AO1228" s="17" t="s">
        <v>98</v>
      </c>
      <c r="AP1228" s="17" t="s">
        <v>98</v>
      </c>
      <c r="AQ1228" s="17" t="s">
        <v>98</v>
      </c>
      <c r="AR1228" s="17" t="s">
        <v>94</v>
      </c>
      <c r="AS1228" s="17" t="s">
        <v>14477</v>
      </c>
      <c r="AT1228" s="17">
        <v>143</v>
      </c>
      <c r="AU1228" s="30" t="s">
        <v>14478</v>
      </c>
      <c r="AV1228" s="14">
        <v>15765</v>
      </c>
      <c r="AW1228" s="74"/>
      <c r="AX1228" s="1"/>
      <c r="AY1228" s="17" t="s">
        <v>101</v>
      </c>
    </row>
    <row r="1229" spans="1:51" ht="12.75" customHeight="1" x14ac:dyDescent="0.25">
      <c r="A1229" s="5">
        <v>1170</v>
      </c>
      <c r="B1229" s="9">
        <v>1170</v>
      </c>
      <c r="C1229" s="9" t="s">
        <v>14479</v>
      </c>
      <c r="D1229" s="57" t="str">
        <f>HYPERLINK("http://prodenv.dep.state.fl.us/DepNexus/public/electronic-documents/OG_1170/facility!search","OG_1170_Docs")</f>
        <v>OG_1170_Docs</v>
      </c>
      <c r="E1229" s="57" t="str">
        <f>HYPERLINK("https://ca.dep.state.fl.us/mapdirect/?focus=oilandgas&amp;zoom=query&amp;querytype=oilandgas&amp;queryvalues=OG_1170","OG_1170_Map")</f>
        <v>OG_1170_Map</v>
      </c>
      <c r="F1229" s="1" t="s">
        <v>265</v>
      </c>
      <c r="G1229" s="1" t="s">
        <v>14480</v>
      </c>
      <c r="H1229" s="1" t="s">
        <v>11252</v>
      </c>
      <c r="I1229" s="1" t="s">
        <v>14481</v>
      </c>
      <c r="J1229" s="17" t="s">
        <v>3646</v>
      </c>
      <c r="K1229" s="17" t="s">
        <v>412</v>
      </c>
      <c r="L1229" s="17"/>
      <c r="M1229" s="17" t="s">
        <v>101</v>
      </c>
      <c r="N1229" s="52" t="s">
        <v>14482</v>
      </c>
      <c r="O1229" s="17" t="s">
        <v>86</v>
      </c>
      <c r="P1229" s="17" t="s">
        <v>86</v>
      </c>
      <c r="Q1229" s="81" t="s">
        <v>14483</v>
      </c>
      <c r="R1229" s="11">
        <v>26.435579000000001</v>
      </c>
      <c r="S1229" s="11">
        <v>-81.526914000000005</v>
      </c>
      <c r="T1229" s="11" t="s">
        <v>14484</v>
      </c>
      <c r="U1229" s="11" t="s">
        <v>14485</v>
      </c>
      <c r="V1229" s="17" t="s">
        <v>14486</v>
      </c>
      <c r="W1229" s="17" t="s">
        <v>110</v>
      </c>
      <c r="X1229" s="70">
        <v>43</v>
      </c>
      <c r="Y1229" s="70">
        <v>21</v>
      </c>
      <c r="Z1229" s="13">
        <v>31141</v>
      </c>
      <c r="AA1229" s="13">
        <v>31306</v>
      </c>
      <c r="AB1229" s="13">
        <v>31361</v>
      </c>
      <c r="AC1229" s="13"/>
      <c r="AD1229" s="86">
        <v>11565</v>
      </c>
      <c r="AE1229" s="86">
        <v>11565</v>
      </c>
      <c r="AF1229" s="70" t="s">
        <v>12733</v>
      </c>
      <c r="AG1229" s="17" t="s">
        <v>14487</v>
      </c>
      <c r="AH1229" s="17" t="s">
        <v>14488</v>
      </c>
      <c r="AI1229" s="70" t="s">
        <v>14489</v>
      </c>
      <c r="AJ1229" s="17" t="s">
        <v>14490</v>
      </c>
      <c r="AK1229" s="17" t="s">
        <v>95</v>
      </c>
      <c r="AL1229" s="17" t="s">
        <v>14491</v>
      </c>
      <c r="AM1229" s="17" t="s">
        <v>95</v>
      </c>
      <c r="AN1229" s="17" t="s">
        <v>95</v>
      </c>
      <c r="AO1229" s="17" t="s">
        <v>14492</v>
      </c>
      <c r="AP1229" s="17" t="s">
        <v>6135</v>
      </c>
      <c r="AQ1229" s="17" t="s">
        <v>10995</v>
      </c>
      <c r="AR1229" s="17" t="s">
        <v>14493</v>
      </c>
      <c r="AS1229" s="17"/>
      <c r="AT1229" s="17">
        <v>172</v>
      </c>
      <c r="AU1229" s="30" t="s">
        <v>14494</v>
      </c>
      <c r="AV1229" s="14">
        <v>15844</v>
      </c>
      <c r="AW1229" s="74">
        <v>304666</v>
      </c>
      <c r="AX1229" s="39" t="s">
        <v>14495</v>
      </c>
      <c r="AY1229" s="17" t="s">
        <v>101</v>
      </c>
    </row>
    <row r="1230" spans="1:51" ht="12.75" customHeight="1" x14ac:dyDescent="0.25">
      <c r="A1230" s="5">
        <v>1171</v>
      </c>
      <c r="B1230" s="9">
        <v>1171</v>
      </c>
      <c r="C1230" s="9" t="s">
        <v>14496</v>
      </c>
      <c r="D1230" s="57" t="str">
        <f>HYPERLINK("http://prodenv.dep.state.fl.us/DepNexus/public/electronic-documents/OG_1171/facility!search","OG_1171_Docs")</f>
        <v>OG_1171_Docs</v>
      </c>
      <c r="E1230" s="57" t="str">
        <f>HYPERLINK("https://ca.dep.state.fl.us/mapdirect/?focus=oilandgas&amp;zoom=query&amp;querytype=oilandgas&amp;queryvalues=OG_1171","OG_1171_Map")</f>
        <v>OG_1171_Map</v>
      </c>
      <c r="F1230" s="1" t="s">
        <v>314</v>
      </c>
      <c r="G1230" s="1" t="s">
        <v>79</v>
      </c>
      <c r="H1230" s="1" t="s">
        <v>14497</v>
      </c>
      <c r="I1230" s="1" t="s">
        <v>14498</v>
      </c>
      <c r="J1230" s="17" t="s">
        <v>207</v>
      </c>
      <c r="K1230" s="17" t="s">
        <v>208</v>
      </c>
      <c r="L1230" s="17"/>
      <c r="M1230" s="17" t="s">
        <v>207</v>
      </c>
      <c r="N1230" s="52" t="s">
        <v>207</v>
      </c>
      <c r="O1230" s="17" t="s">
        <v>86</v>
      </c>
      <c r="P1230" s="17" t="s">
        <v>86</v>
      </c>
      <c r="Q1230" s="81" t="s">
        <v>14499</v>
      </c>
      <c r="R1230" s="11">
        <v>30.876142999999999</v>
      </c>
      <c r="S1230" s="11">
        <v>-86.326376999999994</v>
      </c>
      <c r="T1230" s="11" t="s">
        <v>14500</v>
      </c>
      <c r="U1230" s="11" t="s">
        <v>14501</v>
      </c>
      <c r="V1230" s="17" t="s">
        <v>14502</v>
      </c>
      <c r="W1230" s="17" t="s">
        <v>110</v>
      </c>
      <c r="X1230" s="70"/>
      <c r="Y1230" s="70"/>
      <c r="Z1230" s="13">
        <v>31124</v>
      </c>
      <c r="AA1230" s="13"/>
      <c r="AB1230" s="13"/>
      <c r="AC1230" s="13"/>
      <c r="AD1230" s="86"/>
      <c r="AE1230" s="86"/>
      <c r="AF1230" s="70" t="s">
        <v>207</v>
      </c>
      <c r="AG1230" s="14" t="s">
        <v>207</v>
      </c>
      <c r="AH1230" s="14" t="s">
        <v>207</v>
      </c>
      <c r="AI1230" s="70" t="s">
        <v>207</v>
      </c>
      <c r="AJ1230" s="14" t="s">
        <v>207</v>
      </c>
      <c r="AK1230" s="14" t="s">
        <v>207</v>
      </c>
      <c r="AL1230" s="14" t="s">
        <v>207</v>
      </c>
      <c r="AM1230" s="14" t="s">
        <v>207</v>
      </c>
      <c r="AN1230" s="14" t="s">
        <v>207</v>
      </c>
      <c r="AO1230" s="14" t="s">
        <v>207</v>
      </c>
      <c r="AP1230" s="14" t="s">
        <v>207</v>
      </c>
      <c r="AQ1230" s="14" t="s">
        <v>207</v>
      </c>
      <c r="AR1230" s="14" t="s">
        <v>207</v>
      </c>
      <c r="AS1230" s="14" t="s">
        <v>207</v>
      </c>
      <c r="AT1230" s="14" t="s">
        <v>207</v>
      </c>
      <c r="AU1230" s="30" t="s">
        <v>1843</v>
      </c>
      <c r="AV1230" s="14" t="s">
        <v>207</v>
      </c>
      <c r="AW1230" s="74"/>
      <c r="AX1230" s="1"/>
      <c r="AY1230" s="17" t="s">
        <v>101</v>
      </c>
    </row>
    <row r="1231" spans="1:51" ht="15" customHeight="1" x14ac:dyDescent="0.25">
      <c r="A1231" s="5">
        <v>1172</v>
      </c>
      <c r="B1231" s="9">
        <v>1172</v>
      </c>
      <c r="C1231" s="9" t="s">
        <v>14503</v>
      </c>
      <c r="D1231" s="57" t="str">
        <f>HYPERLINK("http://prodenv.dep.state.fl.us/DepNexus/public/electronic-documents/OG_1172/facility!search","OG_1172_Docs")</f>
        <v>OG_1172_Docs</v>
      </c>
      <c r="E1231" s="57" t="str">
        <f>HYPERLINK("https://ca.dep.state.fl.us/mapdirect/?focus=oilandgas&amp;zoom=query&amp;querytype=oilandgas&amp;queryvalues=OG_1172","OG_1172_Map")</f>
        <v>OG_1172_Map</v>
      </c>
      <c r="F1231" s="1" t="s">
        <v>1682</v>
      </c>
      <c r="G1231" s="1" t="s">
        <v>79</v>
      </c>
      <c r="H1231" s="1" t="s">
        <v>14504</v>
      </c>
      <c r="I1231" s="1" t="s">
        <v>14505</v>
      </c>
      <c r="J1231" s="17" t="s">
        <v>82</v>
      </c>
      <c r="K1231" s="17" t="s">
        <v>83</v>
      </c>
      <c r="L1231" s="17"/>
      <c r="M1231" s="17"/>
      <c r="N1231" s="52" t="s">
        <v>14506</v>
      </c>
      <c r="O1231" s="17" t="s">
        <v>86</v>
      </c>
      <c r="P1231" s="17" t="s">
        <v>86</v>
      </c>
      <c r="Q1231" s="81" t="s">
        <v>14507</v>
      </c>
      <c r="R1231" s="11">
        <v>30.978487000000001</v>
      </c>
      <c r="S1231" s="11">
        <v>-87.464991999999995</v>
      </c>
      <c r="T1231" s="11" t="s">
        <v>14508</v>
      </c>
      <c r="U1231" s="11" t="s">
        <v>14509</v>
      </c>
      <c r="V1231" s="17" t="s">
        <v>14510</v>
      </c>
      <c r="W1231" s="17" t="s">
        <v>110</v>
      </c>
      <c r="X1231" s="70">
        <v>303</v>
      </c>
      <c r="Y1231" s="70">
        <v>276</v>
      </c>
      <c r="Z1231" s="13">
        <v>31184</v>
      </c>
      <c r="AA1231" s="13">
        <v>31285</v>
      </c>
      <c r="AB1231" s="13">
        <v>31351</v>
      </c>
      <c r="AC1231" s="13">
        <v>31351</v>
      </c>
      <c r="AD1231" s="86">
        <v>16800</v>
      </c>
      <c r="AE1231" s="86">
        <v>16800</v>
      </c>
      <c r="AF1231" s="70" t="s">
        <v>11383</v>
      </c>
      <c r="AG1231" s="17" t="s">
        <v>14511</v>
      </c>
      <c r="AH1231" s="17" t="s">
        <v>86</v>
      </c>
      <c r="AI1231" s="70" t="s">
        <v>14512</v>
      </c>
      <c r="AJ1231" s="17" t="s">
        <v>86</v>
      </c>
      <c r="AK1231" s="17" t="s">
        <v>95</v>
      </c>
      <c r="AL1231" s="17" t="s">
        <v>14513</v>
      </c>
      <c r="AM1231" s="17" t="s">
        <v>95</v>
      </c>
      <c r="AN1231" s="17" t="s">
        <v>86</v>
      </c>
      <c r="AO1231" s="17" t="s">
        <v>98</v>
      </c>
      <c r="AP1231" s="17" t="s">
        <v>98</v>
      </c>
      <c r="AQ1231" s="17" t="s">
        <v>98</v>
      </c>
      <c r="AR1231" s="17" t="s">
        <v>14514</v>
      </c>
      <c r="AS1231" s="17" t="s">
        <v>14515</v>
      </c>
      <c r="AT1231" s="17">
        <v>278</v>
      </c>
      <c r="AU1231" s="30" t="s">
        <v>14516</v>
      </c>
      <c r="AV1231" s="14">
        <v>15873</v>
      </c>
      <c r="AW1231" s="74"/>
      <c r="AX1231" s="1"/>
      <c r="AY1231" s="17" t="s">
        <v>101</v>
      </c>
    </row>
    <row r="1232" spans="1:51" ht="12.75" customHeight="1" x14ac:dyDescent="0.25">
      <c r="A1232" s="5">
        <v>1173</v>
      </c>
      <c r="B1232" s="9">
        <v>1173</v>
      </c>
      <c r="C1232" s="9" t="s">
        <v>14517</v>
      </c>
      <c r="D1232" s="57" t="str">
        <f>HYPERLINK("http://prodenv.dep.state.fl.us/DepNexus/public/electronic-documents/OG_1173/facility!search","OG_1173_Docs")</f>
        <v>OG_1173_Docs</v>
      </c>
      <c r="E1232" s="57" t="str">
        <f>HYPERLINK("https://ca.dep.state.fl.us/mapdirect/?focus=oilandgas&amp;zoom=query&amp;querytype=oilandgas&amp;queryvalues=OG_1173","OG_1173_Map")</f>
        <v>OG_1173_Map</v>
      </c>
      <c r="F1232" s="1" t="s">
        <v>1797</v>
      </c>
      <c r="G1232" s="1" t="s">
        <v>79</v>
      </c>
      <c r="H1232" s="1" t="s">
        <v>14518</v>
      </c>
      <c r="I1232" s="1" t="s">
        <v>14519</v>
      </c>
      <c r="J1232" s="17" t="s">
        <v>82</v>
      </c>
      <c r="K1232" s="17" t="s">
        <v>83</v>
      </c>
      <c r="L1232" s="17"/>
      <c r="M1232" s="17" t="s">
        <v>101</v>
      </c>
      <c r="N1232" s="52" t="s">
        <v>14520</v>
      </c>
      <c r="O1232" s="17" t="s">
        <v>86</v>
      </c>
      <c r="P1232" s="17" t="s">
        <v>86</v>
      </c>
      <c r="Q1232" s="81" t="s">
        <v>9195</v>
      </c>
      <c r="R1232" s="11">
        <v>30.931407</v>
      </c>
      <c r="S1232" s="11">
        <v>-87.098800999999995</v>
      </c>
      <c r="T1232" s="11" t="s">
        <v>14521</v>
      </c>
      <c r="U1232" s="11" t="s">
        <v>14522</v>
      </c>
      <c r="V1232" s="17" t="s">
        <v>14523</v>
      </c>
      <c r="W1232" s="17" t="s">
        <v>110</v>
      </c>
      <c r="X1232" s="70">
        <v>164</v>
      </c>
      <c r="Y1232" s="70">
        <v>150</v>
      </c>
      <c r="Z1232" s="13">
        <v>31247</v>
      </c>
      <c r="AA1232" s="13">
        <v>31379</v>
      </c>
      <c r="AB1232" s="13">
        <v>31423</v>
      </c>
      <c r="AC1232" s="13">
        <v>31430</v>
      </c>
      <c r="AD1232" s="86">
        <v>15582</v>
      </c>
      <c r="AE1232" s="86">
        <v>15582</v>
      </c>
      <c r="AF1232" s="70" t="s">
        <v>11383</v>
      </c>
      <c r="AG1232" s="17" t="s">
        <v>14524</v>
      </c>
      <c r="AH1232" s="17" t="s">
        <v>86</v>
      </c>
      <c r="AI1232" s="70" t="s">
        <v>86</v>
      </c>
      <c r="AJ1232" s="17" t="s">
        <v>86</v>
      </c>
      <c r="AK1232" s="17" t="s">
        <v>825</v>
      </c>
      <c r="AL1232" s="17" t="s">
        <v>825</v>
      </c>
      <c r="AM1232" s="17" t="s">
        <v>95</v>
      </c>
      <c r="AN1232" s="17" t="s">
        <v>86</v>
      </c>
      <c r="AO1232" s="17" t="s">
        <v>98</v>
      </c>
      <c r="AP1232" s="17" t="s">
        <v>98</v>
      </c>
      <c r="AQ1232" s="17" t="s">
        <v>98</v>
      </c>
      <c r="AR1232" s="17" t="s">
        <v>94</v>
      </c>
      <c r="AS1232" s="17" t="s">
        <v>14525</v>
      </c>
      <c r="AT1232" s="17">
        <v>248</v>
      </c>
      <c r="AU1232" s="30" t="s">
        <v>14526</v>
      </c>
      <c r="AV1232" s="14" t="s">
        <v>94</v>
      </c>
      <c r="AW1232" s="74"/>
      <c r="AX1232" s="38" t="s">
        <v>14527</v>
      </c>
      <c r="AY1232" s="17" t="s">
        <v>101</v>
      </c>
    </row>
    <row r="1233" spans="1:51" ht="12.75" customHeight="1" x14ac:dyDescent="0.25">
      <c r="A1233" s="5">
        <v>1174</v>
      </c>
      <c r="B1233" s="9">
        <v>1174</v>
      </c>
      <c r="C1233" s="9" t="s">
        <v>14528</v>
      </c>
      <c r="D1233" s="57" t="str">
        <f>HYPERLINK("http://prodenv.dep.state.fl.us/DepNexus/public/electronic-documents/OG_1174/facility!search","OG_1174_Docs")</f>
        <v>OG_1174_Docs</v>
      </c>
      <c r="E1233" s="57" t="str">
        <f>HYPERLINK("https://ca.dep.state.fl.us/mapdirect/?focus=oilandgas&amp;zoom=query&amp;querytype=oilandgas&amp;queryvalues=OG_1174","OG_1174_Map")</f>
        <v>OG_1174_Map</v>
      </c>
      <c r="F1233" s="1" t="s">
        <v>265</v>
      </c>
      <c r="G1233" s="1" t="s">
        <v>10452</v>
      </c>
      <c r="H1233" s="1" t="s">
        <v>8261</v>
      </c>
      <c r="I1233" s="1" t="s">
        <v>14529</v>
      </c>
      <c r="J1233" s="17" t="s">
        <v>207</v>
      </c>
      <c r="K1233" s="17" t="s">
        <v>208</v>
      </c>
      <c r="L1233" s="17"/>
      <c r="M1233" s="17" t="s">
        <v>207</v>
      </c>
      <c r="N1233" s="52" t="s">
        <v>207</v>
      </c>
      <c r="O1233" s="17" t="s">
        <v>270</v>
      </c>
      <c r="P1233" s="17" t="s">
        <v>3395</v>
      </c>
      <c r="Q1233" s="81" t="s">
        <v>14530</v>
      </c>
      <c r="R1233" s="11">
        <v>26.001957999999998</v>
      </c>
      <c r="S1233" s="11">
        <v>-80.911426000000006</v>
      </c>
      <c r="T1233" s="11" t="s">
        <v>14531</v>
      </c>
      <c r="U1233" s="11" t="s">
        <v>14532</v>
      </c>
      <c r="V1233" s="17" t="s">
        <v>14533</v>
      </c>
      <c r="W1233" s="17" t="s">
        <v>94</v>
      </c>
      <c r="X1233" s="70"/>
      <c r="Y1233" s="70"/>
      <c r="Z1233" s="13"/>
      <c r="AA1233" s="13"/>
      <c r="AB1233" s="13"/>
      <c r="AC1233" s="13"/>
      <c r="AD1233" s="86"/>
      <c r="AE1233" s="86"/>
      <c r="AF1233" s="70" t="s">
        <v>207</v>
      </c>
      <c r="AG1233" s="14" t="s">
        <v>207</v>
      </c>
      <c r="AH1233" s="14" t="s">
        <v>207</v>
      </c>
      <c r="AI1233" s="70" t="s">
        <v>207</v>
      </c>
      <c r="AJ1233" s="14" t="s">
        <v>207</v>
      </c>
      <c r="AK1233" s="14" t="s">
        <v>207</v>
      </c>
      <c r="AL1233" s="14" t="s">
        <v>207</v>
      </c>
      <c r="AM1233" s="14" t="s">
        <v>207</v>
      </c>
      <c r="AN1233" s="14" t="s">
        <v>207</v>
      </c>
      <c r="AO1233" s="14" t="s">
        <v>207</v>
      </c>
      <c r="AP1233" s="14" t="s">
        <v>207</v>
      </c>
      <c r="AQ1233" s="14" t="s">
        <v>207</v>
      </c>
      <c r="AR1233" s="14" t="s">
        <v>207</v>
      </c>
      <c r="AS1233" s="14" t="s">
        <v>207</v>
      </c>
      <c r="AT1233" s="14" t="s">
        <v>207</v>
      </c>
      <c r="AU1233" s="30" t="s">
        <v>1843</v>
      </c>
      <c r="AV1233" s="14" t="s">
        <v>207</v>
      </c>
      <c r="AW1233" s="74"/>
      <c r="AX1233" s="14" t="s">
        <v>14534</v>
      </c>
      <c r="AY1233" s="17" t="s">
        <v>101</v>
      </c>
    </row>
    <row r="1234" spans="1:51" ht="12.75" customHeight="1" x14ac:dyDescent="0.25">
      <c r="A1234" s="5">
        <v>1175</v>
      </c>
      <c r="B1234" s="9">
        <v>1175</v>
      </c>
      <c r="C1234" s="9" t="s">
        <v>14535</v>
      </c>
      <c r="D1234" s="57" t="str">
        <f>HYPERLINK("http://prodenv.dep.state.fl.us/DepNexus/public/electronic-documents/OG_1175/facility!search","OG_1175_Docs")</f>
        <v>OG_1175_Docs</v>
      </c>
      <c r="E1234" s="57" t="str">
        <f>HYPERLINK("https://ca.dep.state.fl.us/mapdirect/?focus=oilandgas&amp;zoom=query&amp;querytype=oilandgas&amp;queryvalues=OG_1175","OG_1175_Map")</f>
        <v>OG_1175_Map</v>
      </c>
      <c r="F1234" s="1" t="s">
        <v>265</v>
      </c>
      <c r="G1234" s="1" t="s">
        <v>10452</v>
      </c>
      <c r="H1234" s="1" t="s">
        <v>8261</v>
      </c>
      <c r="I1234" s="1" t="s">
        <v>14536</v>
      </c>
      <c r="J1234" s="17" t="s">
        <v>207</v>
      </c>
      <c r="K1234" s="17" t="s">
        <v>208</v>
      </c>
      <c r="L1234" s="17"/>
      <c r="M1234" s="17" t="s">
        <v>207</v>
      </c>
      <c r="N1234" s="52" t="s">
        <v>207</v>
      </c>
      <c r="O1234" s="17" t="s">
        <v>270</v>
      </c>
      <c r="P1234" s="17" t="s">
        <v>3395</v>
      </c>
      <c r="Q1234" s="81" t="s">
        <v>13435</v>
      </c>
      <c r="R1234" s="11">
        <v>25.977218000000001</v>
      </c>
      <c r="S1234" s="11">
        <v>-80.903552000000005</v>
      </c>
      <c r="T1234" s="11" t="s">
        <v>14537</v>
      </c>
      <c r="U1234" s="11" t="s">
        <v>14538</v>
      </c>
      <c r="V1234" s="17" t="s">
        <v>14539</v>
      </c>
      <c r="W1234" s="17" t="s">
        <v>14540</v>
      </c>
      <c r="X1234" s="70"/>
      <c r="Y1234" s="70"/>
      <c r="Z1234" s="13"/>
      <c r="AA1234" s="13"/>
      <c r="AB1234" s="13"/>
      <c r="AC1234" s="13"/>
      <c r="AD1234" s="86"/>
      <c r="AE1234" s="86"/>
      <c r="AF1234" s="70" t="s">
        <v>207</v>
      </c>
      <c r="AG1234" s="14" t="s">
        <v>207</v>
      </c>
      <c r="AH1234" s="14" t="s">
        <v>207</v>
      </c>
      <c r="AI1234" s="70" t="s">
        <v>207</v>
      </c>
      <c r="AJ1234" s="14" t="s">
        <v>207</v>
      </c>
      <c r="AK1234" s="14" t="s">
        <v>207</v>
      </c>
      <c r="AL1234" s="14" t="s">
        <v>207</v>
      </c>
      <c r="AM1234" s="14" t="s">
        <v>207</v>
      </c>
      <c r="AN1234" s="14" t="s">
        <v>207</v>
      </c>
      <c r="AO1234" s="14" t="s">
        <v>207</v>
      </c>
      <c r="AP1234" s="14" t="s">
        <v>207</v>
      </c>
      <c r="AQ1234" s="14" t="s">
        <v>207</v>
      </c>
      <c r="AR1234" s="14" t="s">
        <v>207</v>
      </c>
      <c r="AS1234" s="14" t="s">
        <v>207</v>
      </c>
      <c r="AT1234" s="14" t="s">
        <v>207</v>
      </c>
      <c r="AU1234" s="30" t="s">
        <v>1843</v>
      </c>
      <c r="AV1234" s="14" t="s">
        <v>207</v>
      </c>
      <c r="AW1234" s="74"/>
      <c r="AX1234" s="14" t="s">
        <v>14534</v>
      </c>
      <c r="AY1234" s="17" t="s">
        <v>101</v>
      </c>
    </row>
    <row r="1235" spans="1:51" ht="12.75" customHeight="1" x14ac:dyDescent="0.25">
      <c r="A1235" s="5">
        <v>1176</v>
      </c>
      <c r="B1235" s="9">
        <v>1176</v>
      </c>
      <c r="C1235" s="9" t="s">
        <v>14541</v>
      </c>
      <c r="D1235" s="57" t="str">
        <f>HYPERLINK("http://prodenv.dep.state.fl.us/DepNexus/public/electronic-documents/OG_1176/facility!search","OG_1176_Docs")</f>
        <v>OG_1176_Docs</v>
      </c>
      <c r="E1235" s="57" t="str">
        <f>HYPERLINK("https://ca.dep.state.fl.us/mapdirect/?focus=oilandgas&amp;zoom=query&amp;querytype=oilandgas&amp;queryvalues=OG_1176","OG_1176_Map")</f>
        <v>OG_1176_Map</v>
      </c>
      <c r="F1235" s="1" t="s">
        <v>1837</v>
      </c>
      <c r="G1235" s="1" t="s">
        <v>79</v>
      </c>
      <c r="H1235" s="1" t="s">
        <v>14542</v>
      </c>
      <c r="I1235" s="1" t="s">
        <v>14543</v>
      </c>
      <c r="J1235" s="17" t="s">
        <v>207</v>
      </c>
      <c r="K1235" s="17" t="s">
        <v>208</v>
      </c>
      <c r="L1235" s="17"/>
      <c r="M1235" s="17" t="s">
        <v>207</v>
      </c>
      <c r="N1235" s="52" t="s">
        <v>207</v>
      </c>
      <c r="O1235" s="17" t="s">
        <v>86</v>
      </c>
      <c r="P1235" s="17" t="s">
        <v>86</v>
      </c>
      <c r="Q1235" s="81" t="s">
        <v>14544</v>
      </c>
      <c r="R1235" s="11">
        <v>27.058430999999999</v>
      </c>
      <c r="S1235" s="11">
        <v>-81.180035000000004</v>
      </c>
      <c r="T1235" s="11" t="s">
        <v>14545</v>
      </c>
      <c r="U1235" s="11" t="s">
        <v>14546</v>
      </c>
      <c r="V1235" s="17" t="s">
        <v>14547</v>
      </c>
      <c r="W1235" s="17" t="s">
        <v>110</v>
      </c>
      <c r="X1235" s="70"/>
      <c r="Y1235" s="70"/>
      <c r="Z1235" s="13">
        <v>31219</v>
      </c>
      <c r="AA1235" s="13"/>
      <c r="AB1235" s="13"/>
      <c r="AC1235" s="13"/>
      <c r="AD1235" s="86"/>
      <c r="AE1235" s="86"/>
      <c r="AF1235" s="70" t="s">
        <v>207</v>
      </c>
      <c r="AG1235" s="14" t="s">
        <v>207</v>
      </c>
      <c r="AH1235" s="14" t="s">
        <v>207</v>
      </c>
      <c r="AI1235" s="70" t="s">
        <v>207</v>
      </c>
      <c r="AJ1235" s="14" t="s">
        <v>207</v>
      </c>
      <c r="AK1235" s="14" t="s">
        <v>207</v>
      </c>
      <c r="AL1235" s="14" t="s">
        <v>207</v>
      </c>
      <c r="AM1235" s="14" t="s">
        <v>207</v>
      </c>
      <c r="AN1235" s="14" t="s">
        <v>207</v>
      </c>
      <c r="AO1235" s="14" t="s">
        <v>207</v>
      </c>
      <c r="AP1235" s="14" t="s">
        <v>207</v>
      </c>
      <c r="AQ1235" s="14" t="s">
        <v>207</v>
      </c>
      <c r="AR1235" s="14" t="s">
        <v>207</v>
      </c>
      <c r="AS1235" s="14" t="s">
        <v>207</v>
      </c>
      <c r="AT1235" s="14" t="s">
        <v>207</v>
      </c>
      <c r="AU1235" s="30" t="s">
        <v>1843</v>
      </c>
      <c r="AV1235" s="14" t="s">
        <v>207</v>
      </c>
      <c r="AW1235" s="74"/>
      <c r="AX1235" s="1"/>
      <c r="AY1235" s="17" t="s">
        <v>101</v>
      </c>
    </row>
    <row r="1236" spans="1:51" ht="12.75" customHeight="1" x14ac:dyDescent="0.25">
      <c r="A1236" s="5">
        <v>1177</v>
      </c>
      <c r="B1236" s="9">
        <v>1177</v>
      </c>
      <c r="C1236" s="9" t="s">
        <v>14548</v>
      </c>
      <c r="D1236" s="57" t="str">
        <f>HYPERLINK("http://prodenv.dep.state.fl.us/DepNexus/public/electronic-documents/OG_1177/facility!search","OG_1177_Docs")</f>
        <v>OG_1177_Docs</v>
      </c>
      <c r="E1236" s="57" t="str">
        <f>HYPERLINK("https://ca.dep.state.fl.us/mapdirect/?focus=oilandgas&amp;zoom=query&amp;querytype=oilandgas&amp;queryvalues=OG_1177","OG_1177_Map")</f>
        <v>OG_1177_Map</v>
      </c>
      <c r="F1236" s="1" t="s">
        <v>1682</v>
      </c>
      <c r="G1236" s="1" t="s">
        <v>79</v>
      </c>
      <c r="H1236" s="1" t="s">
        <v>14549</v>
      </c>
      <c r="I1236" s="1" t="s">
        <v>14550</v>
      </c>
      <c r="J1236" s="17" t="s">
        <v>82</v>
      </c>
      <c r="K1236" s="17" t="s">
        <v>83</v>
      </c>
      <c r="L1236" s="17"/>
      <c r="M1236" s="17"/>
      <c r="N1236" s="52" t="s">
        <v>13489</v>
      </c>
      <c r="O1236" s="17" t="s">
        <v>86</v>
      </c>
      <c r="P1236" s="17" t="s">
        <v>86</v>
      </c>
      <c r="Q1236" s="81" t="s">
        <v>14551</v>
      </c>
      <c r="R1236" s="11">
        <v>30.941095000000001</v>
      </c>
      <c r="S1236" s="11">
        <v>-87.433070999999998</v>
      </c>
      <c r="T1236" s="11" t="s">
        <v>14552</v>
      </c>
      <c r="U1236" s="11" t="s">
        <v>14553</v>
      </c>
      <c r="V1236" s="17" t="s">
        <v>14554</v>
      </c>
      <c r="W1236" s="17" t="s">
        <v>110</v>
      </c>
      <c r="X1236" s="70">
        <v>270</v>
      </c>
      <c r="Y1236" s="70">
        <v>245</v>
      </c>
      <c r="Z1236" s="13">
        <v>31253</v>
      </c>
      <c r="AA1236" s="13">
        <v>31286</v>
      </c>
      <c r="AB1236" s="13"/>
      <c r="AC1236" s="13">
        <v>31357</v>
      </c>
      <c r="AD1236" s="86">
        <v>16889</v>
      </c>
      <c r="AE1236" s="86">
        <v>16889</v>
      </c>
      <c r="AF1236" s="70" t="s">
        <v>11383</v>
      </c>
      <c r="AG1236" s="17" t="s">
        <v>14555</v>
      </c>
      <c r="AH1236" s="17" t="s">
        <v>14556</v>
      </c>
      <c r="AI1236" s="70" t="s">
        <v>86</v>
      </c>
      <c r="AJ1236" s="17" t="s">
        <v>86</v>
      </c>
      <c r="AK1236" s="17" t="s">
        <v>95</v>
      </c>
      <c r="AL1236" s="17" t="s">
        <v>14557</v>
      </c>
      <c r="AM1236" s="17" t="s">
        <v>95</v>
      </c>
      <c r="AN1236" s="17" t="s">
        <v>86</v>
      </c>
      <c r="AO1236" s="17" t="s">
        <v>98</v>
      </c>
      <c r="AP1236" s="17" t="s">
        <v>98</v>
      </c>
      <c r="AQ1236" s="17" t="s">
        <v>98</v>
      </c>
      <c r="AR1236" s="17" t="s">
        <v>94</v>
      </c>
      <c r="AS1236" s="17" t="s">
        <v>14558</v>
      </c>
      <c r="AT1236" s="17">
        <v>285</v>
      </c>
      <c r="AU1236" s="30" t="s">
        <v>14559</v>
      </c>
      <c r="AV1236" s="14">
        <v>15843</v>
      </c>
      <c r="AW1236" s="74"/>
      <c r="AX1236" s="1"/>
      <c r="AY1236" s="17" t="s">
        <v>101</v>
      </c>
    </row>
    <row r="1237" spans="1:51" ht="12.75" customHeight="1" x14ac:dyDescent="0.25">
      <c r="A1237" s="5">
        <v>1178</v>
      </c>
      <c r="B1237" s="9">
        <v>1178</v>
      </c>
      <c r="C1237" s="9" t="s">
        <v>14560</v>
      </c>
      <c r="D1237" s="57" t="str">
        <f>HYPERLINK("http://prodenv.dep.state.fl.us/DepNexus/public/electronic-documents/OG_1178/facility!search","OG_1178_Docs")</f>
        <v>OG_1178_Docs</v>
      </c>
      <c r="E1237" s="57" t="str">
        <f>HYPERLINK("https://ca.dep.state.fl.us/mapdirect/?focus=oilandgas&amp;zoom=query&amp;querytype=oilandgas&amp;queryvalues=OG_1178","OG_1178_Map")</f>
        <v>OG_1178_Map</v>
      </c>
      <c r="F1237" s="1" t="s">
        <v>1797</v>
      </c>
      <c r="G1237" s="1" t="s">
        <v>79</v>
      </c>
      <c r="H1237" s="1" t="s">
        <v>14561</v>
      </c>
      <c r="I1237" s="1" t="s">
        <v>14562</v>
      </c>
      <c r="J1237" s="17" t="s">
        <v>82</v>
      </c>
      <c r="K1237" s="17" t="s">
        <v>83</v>
      </c>
      <c r="L1237" s="17"/>
      <c r="M1237" s="17"/>
      <c r="N1237" s="52" t="s">
        <v>14563</v>
      </c>
      <c r="O1237" s="17" t="s">
        <v>86</v>
      </c>
      <c r="P1237" s="17" t="s">
        <v>86</v>
      </c>
      <c r="Q1237" s="81" t="s">
        <v>14564</v>
      </c>
      <c r="R1237" s="11">
        <v>30.794498999999998</v>
      </c>
      <c r="S1237" s="11">
        <v>-87.061907000000005</v>
      </c>
      <c r="T1237" s="11" t="s">
        <v>14565</v>
      </c>
      <c r="U1237" s="11" t="s">
        <v>14566</v>
      </c>
      <c r="V1237" s="17" t="s">
        <v>14567</v>
      </c>
      <c r="W1237" s="17" t="s">
        <v>110</v>
      </c>
      <c r="X1237" s="70">
        <v>75</v>
      </c>
      <c r="Y1237" s="70">
        <v>55</v>
      </c>
      <c r="Z1237" s="13">
        <v>31253</v>
      </c>
      <c r="AA1237" s="13">
        <v>31349</v>
      </c>
      <c r="AB1237" s="13"/>
      <c r="AC1237" s="13">
        <v>31404</v>
      </c>
      <c r="AD1237" s="86">
        <v>16580</v>
      </c>
      <c r="AE1237" s="86">
        <v>16580</v>
      </c>
      <c r="AF1237" s="70" t="s">
        <v>11383</v>
      </c>
      <c r="AG1237" s="17" t="s">
        <v>14568</v>
      </c>
      <c r="AH1237" s="17" t="s">
        <v>86</v>
      </c>
      <c r="AI1237" s="70" t="s">
        <v>86</v>
      </c>
      <c r="AJ1237" s="17" t="s">
        <v>86</v>
      </c>
      <c r="AK1237" s="17" t="s">
        <v>95</v>
      </c>
      <c r="AL1237" s="17" t="s">
        <v>14569</v>
      </c>
      <c r="AM1237" s="17" t="s">
        <v>95</v>
      </c>
      <c r="AN1237" s="17" t="s">
        <v>94</v>
      </c>
      <c r="AO1237" s="17" t="s">
        <v>98</v>
      </c>
      <c r="AP1237" s="17" t="s">
        <v>98</v>
      </c>
      <c r="AQ1237" s="17" t="s">
        <v>98</v>
      </c>
      <c r="AR1237" s="17" t="s">
        <v>94</v>
      </c>
      <c r="AS1237" s="17" t="s">
        <v>14570</v>
      </c>
      <c r="AT1237" s="17">
        <v>270</v>
      </c>
      <c r="AU1237" s="30" t="s">
        <v>14571</v>
      </c>
      <c r="AV1237" s="14">
        <v>15874</v>
      </c>
      <c r="AW1237" s="74"/>
      <c r="AX1237" s="1"/>
      <c r="AY1237" s="17" t="s">
        <v>101</v>
      </c>
    </row>
    <row r="1238" spans="1:51" ht="12.75" customHeight="1" x14ac:dyDescent="0.25">
      <c r="A1238" s="5">
        <v>1179</v>
      </c>
      <c r="B1238" s="9">
        <v>1179</v>
      </c>
      <c r="C1238" s="9" t="s">
        <v>14572</v>
      </c>
      <c r="D1238" s="57" t="str">
        <f>HYPERLINK("http://prodenv.dep.state.fl.us/DepNexus/public/electronic-documents/OG_1179/facility!search","OG_1179_Docs")</f>
        <v>OG_1179_Docs</v>
      </c>
      <c r="E1238" s="57" t="str">
        <f>HYPERLINK("https://ca.dep.state.fl.us/mapdirect/?focus=oilandgas&amp;zoom=query&amp;querytype=oilandgas&amp;queryvalues=OG_1179","OG_1179_Map")</f>
        <v>OG_1179_Map</v>
      </c>
      <c r="F1238" s="1" t="s">
        <v>1797</v>
      </c>
      <c r="G1238" s="1" t="s">
        <v>5133</v>
      </c>
      <c r="H1238" s="1" t="s">
        <v>1363</v>
      </c>
      <c r="I1238" s="1" t="s">
        <v>14573</v>
      </c>
      <c r="J1238" s="17" t="s">
        <v>5135</v>
      </c>
      <c r="K1238" s="17" t="s">
        <v>412</v>
      </c>
      <c r="L1238" s="17"/>
      <c r="M1238" s="17"/>
      <c r="N1238" s="52" t="s">
        <v>14574</v>
      </c>
      <c r="O1238" s="17" t="s">
        <v>86</v>
      </c>
      <c r="P1238" s="17" t="s">
        <v>86</v>
      </c>
      <c r="Q1238" s="81" t="s">
        <v>5877</v>
      </c>
      <c r="R1238" s="11">
        <v>30.968271999999999</v>
      </c>
      <c r="S1238" s="11">
        <v>-87.157105000000001</v>
      </c>
      <c r="T1238" s="11" t="s">
        <v>14575</v>
      </c>
      <c r="U1238" s="11" t="s">
        <v>14576</v>
      </c>
      <c r="V1238" s="17" t="s">
        <v>14577</v>
      </c>
      <c r="W1238" s="17" t="s">
        <v>110</v>
      </c>
      <c r="X1238" s="70">
        <v>201</v>
      </c>
      <c r="Y1238" s="70">
        <v>174</v>
      </c>
      <c r="Z1238" s="13">
        <v>31265</v>
      </c>
      <c r="AA1238" s="13">
        <v>31335</v>
      </c>
      <c r="AB1238" s="13">
        <v>31460</v>
      </c>
      <c r="AC1238" s="13"/>
      <c r="AD1238" s="86">
        <v>15815</v>
      </c>
      <c r="AE1238" s="86">
        <v>15815</v>
      </c>
      <c r="AF1238" s="70" t="s">
        <v>14420</v>
      </c>
      <c r="AG1238" s="17" t="s">
        <v>14578</v>
      </c>
      <c r="AH1238" s="17" t="s">
        <v>86</v>
      </c>
      <c r="AI1238" s="70" t="s">
        <v>14579</v>
      </c>
      <c r="AJ1238" s="17" t="s">
        <v>14580</v>
      </c>
      <c r="AK1238" s="17" t="s">
        <v>825</v>
      </c>
      <c r="AL1238" s="17" t="s">
        <v>14581</v>
      </c>
      <c r="AM1238" s="17" t="s">
        <v>825</v>
      </c>
      <c r="AN1238" s="17" t="s">
        <v>86</v>
      </c>
      <c r="AO1238" s="17" t="s">
        <v>14582</v>
      </c>
      <c r="AP1238" s="17" t="s">
        <v>7183</v>
      </c>
      <c r="AQ1238" s="17" t="s">
        <v>14583</v>
      </c>
      <c r="AR1238" s="17" t="s">
        <v>14584</v>
      </c>
      <c r="AS1238" s="17" t="s">
        <v>86</v>
      </c>
      <c r="AT1238" s="17">
        <v>241</v>
      </c>
      <c r="AU1238" s="30" t="s">
        <v>14585</v>
      </c>
      <c r="AV1238" s="14">
        <v>15896</v>
      </c>
      <c r="AW1238" s="74">
        <v>311644</v>
      </c>
      <c r="AX1238" s="1" t="s">
        <v>14586</v>
      </c>
      <c r="AY1238" s="17" t="s">
        <v>101</v>
      </c>
    </row>
    <row r="1239" spans="1:51" ht="12.75" customHeight="1" x14ac:dyDescent="0.25">
      <c r="A1239" s="5">
        <v>1180</v>
      </c>
      <c r="B1239" s="9">
        <v>1180</v>
      </c>
      <c r="C1239" s="9" t="s">
        <v>14587</v>
      </c>
      <c r="D1239" s="57" t="str">
        <f>HYPERLINK("http://prodenv.dep.state.fl.us/DepNexus/public/electronic-documents/OG_1180/facility!search","OG_1180_Docs")</f>
        <v>OG_1180_Docs</v>
      </c>
      <c r="E1239" s="57" t="str">
        <f>HYPERLINK("https://ca.dep.state.fl.us/mapdirect/?focus=oilandgas&amp;zoom=query&amp;querytype=oilandgas&amp;queryvalues=OG_1180","OG_1180_Map")</f>
        <v>OG_1180_Map</v>
      </c>
      <c r="F1239" s="1" t="s">
        <v>1797</v>
      </c>
      <c r="G1239" s="1" t="s">
        <v>5133</v>
      </c>
      <c r="H1239" s="1" t="s">
        <v>1363</v>
      </c>
      <c r="I1239" s="1" t="s">
        <v>14588</v>
      </c>
      <c r="J1239" s="17" t="s">
        <v>3646</v>
      </c>
      <c r="K1239" s="17" t="s">
        <v>412</v>
      </c>
      <c r="L1239" s="17"/>
      <c r="M1239" s="17"/>
      <c r="N1239" s="52" t="s">
        <v>14589</v>
      </c>
      <c r="O1239" s="17" t="s">
        <v>86</v>
      </c>
      <c r="P1239" s="17" t="s">
        <v>86</v>
      </c>
      <c r="Q1239" s="81" t="s">
        <v>5877</v>
      </c>
      <c r="R1239" s="11">
        <v>30.973625999999999</v>
      </c>
      <c r="S1239" s="11">
        <v>-87.157892000000004</v>
      </c>
      <c r="T1239" s="11" t="s">
        <v>14590</v>
      </c>
      <c r="U1239" s="11" t="s">
        <v>14591</v>
      </c>
      <c r="V1239" s="17" t="s">
        <v>14592</v>
      </c>
      <c r="W1239" s="17" t="s">
        <v>110</v>
      </c>
      <c r="X1239" s="70">
        <v>260</v>
      </c>
      <c r="Y1239" s="70">
        <v>237</v>
      </c>
      <c r="Z1239" s="13">
        <v>31265</v>
      </c>
      <c r="AA1239" s="13">
        <v>31293</v>
      </c>
      <c r="AB1239" s="13">
        <v>31403</v>
      </c>
      <c r="AC1239" s="13"/>
      <c r="AD1239" s="86">
        <v>15780</v>
      </c>
      <c r="AE1239" s="86">
        <v>15780</v>
      </c>
      <c r="AF1239" s="70" t="s">
        <v>14593</v>
      </c>
      <c r="AG1239" s="17" t="s">
        <v>14594</v>
      </c>
      <c r="AH1239" s="17" t="s">
        <v>86</v>
      </c>
      <c r="AI1239" s="70" t="s">
        <v>14595</v>
      </c>
      <c r="AJ1239" s="17" t="s">
        <v>14596</v>
      </c>
      <c r="AK1239" s="17" t="s">
        <v>825</v>
      </c>
      <c r="AL1239" s="17" t="s">
        <v>14597</v>
      </c>
      <c r="AM1239" s="17" t="s">
        <v>825</v>
      </c>
      <c r="AN1239" s="17" t="s">
        <v>86</v>
      </c>
      <c r="AO1239" s="17" t="s">
        <v>14598</v>
      </c>
      <c r="AP1239" s="17" t="s">
        <v>14599</v>
      </c>
      <c r="AQ1239" s="17" t="s">
        <v>14600</v>
      </c>
      <c r="AR1239" s="17" t="s">
        <v>14601</v>
      </c>
      <c r="AS1239" s="17" t="s">
        <v>86</v>
      </c>
      <c r="AT1239" s="17">
        <v>230</v>
      </c>
      <c r="AU1239" s="30" t="s">
        <v>14602</v>
      </c>
      <c r="AV1239" s="14">
        <v>15895</v>
      </c>
      <c r="AW1239" s="74">
        <v>309909</v>
      </c>
      <c r="AX1239" s="1"/>
      <c r="AY1239" s="17" t="s">
        <v>101</v>
      </c>
    </row>
    <row r="1240" spans="1:51" ht="15" customHeight="1" x14ac:dyDescent="0.25">
      <c r="A1240" s="5">
        <v>1181</v>
      </c>
      <c r="B1240" s="9">
        <v>1181</v>
      </c>
      <c r="C1240" s="9" t="s">
        <v>14603</v>
      </c>
      <c r="D1240" s="57" t="str">
        <f>HYPERLINK("http://prodenv.dep.state.fl.us/DepNexus/public/electronic-documents/OG_1181/facility!search","OG_1181_Docs")</f>
        <v>OG_1181_Docs</v>
      </c>
      <c r="E1240" s="57" t="str">
        <f>HYPERLINK("https://ca.dep.state.fl.us/mapdirect/?focus=oilandgas&amp;zoom=query&amp;querytype=oilandgas&amp;queryvalues=OG_1181","OG_1181_Map")</f>
        <v>OG_1181_Map</v>
      </c>
      <c r="F1240" s="1" t="s">
        <v>634</v>
      </c>
      <c r="G1240" s="1" t="s">
        <v>79</v>
      </c>
      <c r="H1240" s="1" t="s">
        <v>14604</v>
      </c>
      <c r="I1240" s="1" t="s">
        <v>14605</v>
      </c>
      <c r="J1240" s="17" t="s">
        <v>82</v>
      </c>
      <c r="K1240" s="17" t="s">
        <v>83</v>
      </c>
      <c r="L1240" s="17"/>
      <c r="M1240" s="17" t="s">
        <v>101</v>
      </c>
      <c r="N1240" s="52" t="s">
        <v>14606</v>
      </c>
      <c r="O1240" s="17" t="s">
        <v>86</v>
      </c>
      <c r="P1240" s="17" t="s">
        <v>86</v>
      </c>
      <c r="Q1240" s="81" t="s">
        <v>14607</v>
      </c>
      <c r="R1240" s="11">
        <v>30.172058</v>
      </c>
      <c r="S1240" s="11">
        <v>-83.082663999999994</v>
      </c>
      <c r="T1240" s="11" t="s">
        <v>14608</v>
      </c>
      <c r="U1240" s="11" t="s">
        <v>14609</v>
      </c>
      <c r="V1240" s="17" t="s">
        <v>14610</v>
      </c>
      <c r="W1240" s="17" t="s">
        <v>110</v>
      </c>
      <c r="X1240" s="70">
        <v>94</v>
      </c>
      <c r="Y1240" s="70">
        <v>73</v>
      </c>
      <c r="Z1240" s="13">
        <v>31319</v>
      </c>
      <c r="AA1240" s="13">
        <v>31334</v>
      </c>
      <c r="AB1240" s="13">
        <v>31411</v>
      </c>
      <c r="AC1240" s="13">
        <v>31411</v>
      </c>
      <c r="AD1240" s="86">
        <v>6888</v>
      </c>
      <c r="AE1240" s="86">
        <v>6888</v>
      </c>
      <c r="AF1240" s="70" t="s">
        <v>14611</v>
      </c>
      <c r="AG1240" s="17" t="s">
        <v>14612</v>
      </c>
      <c r="AH1240" s="17" t="s">
        <v>86</v>
      </c>
      <c r="AI1240" s="70" t="s">
        <v>86</v>
      </c>
      <c r="AJ1240" s="17" t="s">
        <v>86</v>
      </c>
      <c r="AK1240" s="17" t="s">
        <v>95</v>
      </c>
      <c r="AL1240" s="17" t="s">
        <v>86</v>
      </c>
      <c r="AM1240" s="17" t="s">
        <v>825</v>
      </c>
      <c r="AN1240" s="17" t="s">
        <v>86</v>
      </c>
      <c r="AO1240" s="17" t="s">
        <v>98</v>
      </c>
      <c r="AP1240" s="17" t="s">
        <v>98</v>
      </c>
      <c r="AQ1240" s="17" t="s">
        <v>98</v>
      </c>
      <c r="AR1240" s="17" t="s">
        <v>94</v>
      </c>
      <c r="AS1240" s="17" t="s">
        <v>14613</v>
      </c>
      <c r="AT1240" s="17">
        <v>149</v>
      </c>
      <c r="AU1240" s="30" t="s">
        <v>14614</v>
      </c>
      <c r="AV1240" s="14">
        <v>15877</v>
      </c>
      <c r="AW1240" s="74"/>
      <c r="AX1240" s="1"/>
      <c r="AY1240" s="17" t="s">
        <v>101</v>
      </c>
    </row>
    <row r="1241" spans="1:51" ht="15" customHeight="1" x14ac:dyDescent="0.25">
      <c r="A1241" s="5">
        <v>1182</v>
      </c>
      <c r="B1241" s="9">
        <v>1182</v>
      </c>
      <c r="C1241" s="9" t="s">
        <v>14615</v>
      </c>
      <c r="D1241" s="57" t="str">
        <f>HYPERLINK("http://prodenv.dep.state.fl.us/DepNexus/public/electronic-documents/OG_1182/facility!search","OG_1182_Docs")</f>
        <v>OG_1182_Docs</v>
      </c>
      <c r="E1241" s="57" t="str">
        <f>HYPERLINK("https://ca.dep.state.fl.us/mapdirect/?focus=oilandgas&amp;zoom=query&amp;querytype=oilandgas&amp;queryvalues=OG_1182","OG_1182_Map")</f>
        <v>OG_1182_Map</v>
      </c>
      <c r="F1241" s="1" t="s">
        <v>1752</v>
      </c>
      <c r="G1241" s="1" t="s">
        <v>79</v>
      </c>
      <c r="H1241" s="1" t="s">
        <v>14616</v>
      </c>
      <c r="I1241" s="1" t="s">
        <v>14617</v>
      </c>
      <c r="J1241" s="17" t="s">
        <v>207</v>
      </c>
      <c r="K1241" s="17" t="s">
        <v>208</v>
      </c>
      <c r="L1241" s="17"/>
      <c r="M1241" s="17" t="s">
        <v>207</v>
      </c>
      <c r="N1241" s="52" t="s">
        <v>207</v>
      </c>
      <c r="O1241" s="17" t="s">
        <v>270</v>
      </c>
      <c r="P1241" s="17" t="s">
        <v>5157</v>
      </c>
      <c r="Q1241" s="81" t="s">
        <v>14618</v>
      </c>
      <c r="R1241" s="11">
        <v>26.332459</v>
      </c>
      <c r="S1241" s="11">
        <v>-81.038240000000002</v>
      </c>
      <c r="T1241" s="11" t="s">
        <v>14619</v>
      </c>
      <c r="U1241" s="11" t="s">
        <v>14620</v>
      </c>
      <c r="V1241" s="17" t="s">
        <v>14621</v>
      </c>
      <c r="W1241" s="17" t="s">
        <v>110</v>
      </c>
      <c r="X1241" s="70"/>
      <c r="Y1241" s="70"/>
      <c r="Z1241" s="13">
        <v>31335</v>
      </c>
      <c r="AA1241" s="13"/>
      <c r="AB1241" s="13"/>
      <c r="AC1241" s="13"/>
      <c r="AD1241" s="86"/>
      <c r="AE1241" s="86"/>
      <c r="AF1241" s="70" t="s">
        <v>207</v>
      </c>
      <c r="AG1241" s="14" t="s">
        <v>207</v>
      </c>
      <c r="AH1241" s="14" t="s">
        <v>207</v>
      </c>
      <c r="AI1241" s="70" t="s">
        <v>207</v>
      </c>
      <c r="AJ1241" s="14" t="s">
        <v>207</v>
      </c>
      <c r="AK1241" s="14" t="s">
        <v>207</v>
      </c>
      <c r="AL1241" s="14" t="s">
        <v>207</v>
      </c>
      <c r="AM1241" s="14" t="s">
        <v>207</v>
      </c>
      <c r="AN1241" s="14" t="s">
        <v>207</v>
      </c>
      <c r="AO1241" s="14" t="s">
        <v>207</v>
      </c>
      <c r="AP1241" s="14" t="s">
        <v>207</v>
      </c>
      <c r="AQ1241" s="14" t="s">
        <v>207</v>
      </c>
      <c r="AR1241" s="14" t="s">
        <v>207</v>
      </c>
      <c r="AS1241" s="14" t="s">
        <v>207</v>
      </c>
      <c r="AT1241" s="14" t="s">
        <v>207</v>
      </c>
      <c r="AU1241" s="30" t="s">
        <v>1843</v>
      </c>
      <c r="AV1241" s="14" t="s">
        <v>207</v>
      </c>
      <c r="AW1241" s="74"/>
      <c r="AX1241" s="1"/>
      <c r="AY1241" s="17" t="s">
        <v>101</v>
      </c>
    </row>
    <row r="1242" spans="1:51" ht="12.75" customHeight="1" x14ac:dyDescent="0.25">
      <c r="A1242" s="5">
        <v>1183</v>
      </c>
      <c r="B1242" s="9">
        <v>1183</v>
      </c>
      <c r="C1242" s="9" t="s">
        <v>14622</v>
      </c>
      <c r="D1242" s="57" t="str">
        <f>HYPERLINK("http://prodenv.dep.state.fl.us/DepNexus/public/electronic-documents/OG_1183/facility!search","OG_1183_Docs")</f>
        <v>OG_1183_Docs</v>
      </c>
      <c r="E1242" s="57" t="str">
        <f>HYPERLINK("https://ca.dep.state.fl.us/mapdirect/?focus=oilandgas&amp;zoom=query&amp;querytype=oilandgas&amp;queryvalues=OG_1183","OG_1183_Map")</f>
        <v>OG_1183_Map</v>
      </c>
      <c r="F1242" s="1" t="s">
        <v>2026</v>
      </c>
      <c r="G1242" s="1" t="s">
        <v>79</v>
      </c>
      <c r="H1242" s="1" t="s">
        <v>6605</v>
      </c>
      <c r="I1242" s="1" t="s">
        <v>14623</v>
      </c>
      <c r="J1242" s="17" t="s">
        <v>82</v>
      </c>
      <c r="K1242" s="17" t="s">
        <v>83</v>
      </c>
      <c r="L1242" s="17"/>
      <c r="M1242" s="17"/>
      <c r="N1242" s="52" t="s">
        <v>14624</v>
      </c>
      <c r="O1242" s="17" t="s">
        <v>86</v>
      </c>
      <c r="P1242" s="17" t="s">
        <v>86</v>
      </c>
      <c r="Q1242" s="81" t="s">
        <v>14625</v>
      </c>
      <c r="R1242" s="11">
        <v>26.668209000000001</v>
      </c>
      <c r="S1242" s="11">
        <v>-81.720378999999994</v>
      </c>
      <c r="T1242" s="11" t="s">
        <v>13938</v>
      </c>
      <c r="U1242" s="11" t="s">
        <v>13939</v>
      </c>
      <c r="V1242" s="17" t="s">
        <v>14626</v>
      </c>
      <c r="W1242" s="17" t="s">
        <v>14627</v>
      </c>
      <c r="X1242" s="70">
        <v>33</v>
      </c>
      <c r="Y1242" s="70">
        <v>13</v>
      </c>
      <c r="Z1242" s="13">
        <v>31288</v>
      </c>
      <c r="AA1242" s="13">
        <v>31333</v>
      </c>
      <c r="AB1242" s="13"/>
      <c r="AC1242" s="13">
        <v>31361</v>
      </c>
      <c r="AD1242" s="86">
        <v>11303</v>
      </c>
      <c r="AE1242" s="86">
        <v>11836</v>
      </c>
      <c r="AF1242" s="70" t="s">
        <v>12905</v>
      </c>
      <c r="AG1242" s="17" t="s">
        <v>14628</v>
      </c>
      <c r="AH1242" s="17" t="s">
        <v>14629</v>
      </c>
      <c r="AI1242" s="70" t="s">
        <v>86</v>
      </c>
      <c r="AJ1242" s="17" t="s">
        <v>86</v>
      </c>
      <c r="AK1242" s="17" t="s">
        <v>95</v>
      </c>
      <c r="AL1242" s="17" t="s">
        <v>14630</v>
      </c>
      <c r="AM1242" s="17" t="s">
        <v>825</v>
      </c>
      <c r="AN1242" s="17" t="s">
        <v>86</v>
      </c>
      <c r="AO1242" s="17" t="s">
        <v>98</v>
      </c>
      <c r="AP1242" s="17" t="s">
        <v>98</v>
      </c>
      <c r="AQ1242" s="17" t="s">
        <v>98</v>
      </c>
      <c r="AR1242" s="17" t="s">
        <v>94</v>
      </c>
      <c r="AS1242" s="17" t="s">
        <v>14631</v>
      </c>
      <c r="AT1242" s="17" t="s">
        <v>94</v>
      </c>
      <c r="AU1242" s="30" t="s">
        <v>14632</v>
      </c>
      <c r="AV1242" s="14">
        <v>15845</v>
      </c>
      <c r="AW1242" s="74"/>
      <c r="AX1242" s="1" t="s">
        <v>14633</v>
      </c>
      <c r="AY1242" s="17" t="s">
        <v>101</v>
      </c>
    </row>
    <row r="1243" spans="1:51" ht="12.75" customHeight="1" x14ac:dyDescent="0.25">
      <c r="A1243" s="5">
        <v>1184</v>
      </c>
      <c r="B1243" s="9">
        <v>1184</v>
      </c>
      <c r="C1243" s="9" t="s">
        <v>14634</v>
      </c>
      <c r="D1243" s="57" t="str">
        <f>HYPERLINK("http://prodenv.dep.state.fl.us/DepNexus/public/electronic-documents/OG_1184/facility!search","OG_1184_Docs")</f>
        <v>OG_1184_Docs</v>
      </c>
      <c r="E1243" s="57" t="str">
        <f>HYPERLINK("https://ca.dep.state.fl.us/mapdirect/?focus=oilandgas&amp;zoom=query&amp;querytype=oilandgas&amp;queryvalues=OG_1184","OG_1184_Map")</f>
        <v>OG_1184_Map</v>
      </c>
      <c r="F1243" s="1" t="s">
        <v>1682</v>
      </c>
      <c r="G1243" s="1" t="s">
        <v>13949</v>
      </c>
      <c r="H1243" s="1" t="s">
        <v>14110</v>
      </c>
      <c r="I1243" s="1" t="s">
        <v>14635</v>
      </c>
      <c r="J1243" s="17" t="s">
        <v>268</v>
      </c>
      <c r="K1243" s="17" t="s">
        <v>6189</v>
      </c>
      <c r="L1243" s="17"/>
      <c r="M1243" s="17"/>
      <c r="N1243" s="52" t="s">
        <v>14636</v>
      </c>
      <c r="O1243" s="17" t="s">
        <v>86</v>
      </c>
      <c r="P1243" s="17" t="s">
        <v>86</v>
      </c>
      <c r="Q1243" s="81" t="s">
        <v>14075</v>
      </c>
      <c r="R1243" s="11">
        <v>30.919270000000001</v>
      </c>
      <c r="S1243" s="11">
        <v>-87.365172999999999</v>
      </c>
      <c r="T1243" s="11" t="s">
        <v>14076</v>
      </c>
      <c r="U1243" s="11" t="s">
        <v>14077</v>
      </c>
      <c r="V1243" s="17" t="s">
        <v>14637</v>
      </c>
      <c r="W1243" s="17" t="s">
        <v>110</v>
      </c>
      <c r="X1243" s="70"/>
      <c r="Y1243" s="70">
        <v>150</v>
      </c>
      <c r="Z1243" s="13">
        <v>31309</v>
      </c>
      <c r="AA1243" s="13">
        <v>31457</v>
      </c>
      <c r="AB1243" s="13">
        <v>31471</v>
      </c>
      <c r="AC1243" s="13">
        <v>33554</v>
      </c>
      <c r="AD1243" s="86">
        <v>3260</v>
      </c>
      <c r="AE1243" s="86">
        <v>3260</v>
      </c>
      <c r="AF1243" s="70" t="s">
        <v>14638</v>
      </c>
      <c r="AG1243" s="17" t="s">
        <v>14639</v>
      </c>
      <c r="AH1243" s="17" t="s">
        <v>86</v>
      </c>
      <c r="AI1243" s="70" t="s">
        <v>14640</v>
      </c>
      <c r="AJ1243" s="17" t="s">
        <v>14641</v>
      </c>
      <c r="AK1243" s="17" t="s">
        <v>825</v>
      </c>
      <c r="AL1243" s="17" t="s">
        <v>86</v>
      </c>
      <c r="AM1243" s="17" t="s">
        <v>825</v>
      </c>
      <c r="AN1243" s="17" t="s">
        <v>86</v>
      </c>
      <c r="AO1243" s="17" t="s">
        <v>94</v>
      </c>
      <c r="AP1243" s="17" t="s">
        <v>94</v>
      </c>
      <c r="AQ1243" s="17" t="s">
        <v>94</v>
      </c>
      <c r="AR1243" s="17" t="s">
        <v>14642</v>
      </c>
      <c r="AS1243" s="17" t="s">
        <v>14643</v>
      </c>
      <c r="AT1243" s="17" t="s">
        <v>94</v>
      </c>
      <c r="AU1243" s="30" t="s">
        <v>14082</v>
      </c>
      <c r="AV1243" s="14">
        <v>15660</v>
      </c>
      <c r="AW1243" s="74"/>
      <c r="AX1243" s="1" t="s">
        <v>14644</v>
      </c>
      <c r="AY1243" s="17" t="s">
        <v>101</v>
      </c>
    </row>
    <row r="1244" spans="1:51" ht="12.75" customHeight="1" x14ac:dyDescent="0.25">
      <c r="A1244" s="5">
        <v>1185</v>
      </c>
      <c r="B1244" s="9">
        <v>1185</v>
      </c>
      <c r="C1244" s="9" t="s">
        <v>14645</v>
      </c>
      <c r="D1244" s="57" t="str">
        <f>HYPERLINK("http://prodenv.dep.state.fl.us/DepNexus/public/electronic-documents/OG_1185/facility!search","OG_1185_Docs")</f>
        <v>OG_1185_Docs</v>
      </c>
      <c r="E1244" s="57" t="str">
        <f>HYPERLINK("https://ca.dep.state.fl.us/mapdirect/?focus=oilandgas&amp;zoom=query&amp;querytype=oilandgas&amp;queryvalues=OG_1185","OG_1185_Map")</f>
        <v>OG_1185_Map</v>
      </c>
      <c r="F1244" s="1" t="s">
        <v>1797</v>
      </c>
      <c r="G1244" s="1" t="s">
        <v>79</v>
      </c>
      <c r="H1244" s="1" t="s">
        <v>13682</v>
      </c>
      <c r="I1244" s="1" t="s">
        <v>14646</v>
      </c>
      <c r="J1244" s="17" t="s">
        <v>82</v>
      </c>
      <c r="K1244" s="17" t="s">
        <v>83</v>
      </c>
      <c r="L1244" s="23" t="s">
        <v>101</v>
      </c>
      <c r="M1244" s="17"/>
      <c r="N1244" s="52" t="s">
        <v>14647</v>
      </c>
      <c r="O1244" s="17" t="s">
        <v>86</v>
      </c>
      <c r="P1244" s="17" t="s">
        <v>86</v>
      </c>
      <c r="Q1244" s="81" t="s">
        <v>14648</v>
      </c>
      <c r="R1244" s="11">
        <v>30.79832</v>
      </c>
      <c r="S1244" s="11">
        <v>-87.231628000000001</v>
      </c>
      <c r="T1244" s="11" t="s">
        <v>14649</v>
      </c>
      <c r="U1244" s="11" t="s">
        <v>14650</v>
      </c>
      <c r="V1244" s="17" t="s">
        <v>6887</v>
      </c>
      <c r="W1244" s="17" t="s">
        <v>110</v>
      </c>
      <c r="X1244" s="70">
        <v>196</v>
      </c>
      <c r="Y1244" s="70">
        <v>175</v>
      </c>
      <c r="Z1244" s="13">
        <v>31288</v>
      </c>
      <c r="AA1244" s="13">
        <v>31339</v>
      </c>
      <c r="AB1244" s="13"/>
      <c r="AC1244" s="13">
        <v>31399</v>
      </c>
      <c r="AD1244" s="86">
        <v>17050</v>
      </c>
      <c r="AE1244" s="86">
        <v>17050</v>
      </c>
      <c r="AF1244" s="71" t="s">
        <v>14651</v>
      </c>
      <c r="AG1244" s="23" t="s">
        <v>14652</v>
      </c>
      <c r="AH1244" s="17" t="s">
        <v>86</v>
      </c>
      <c r="AI1244" s="70" t="s">
        <v>86</v>
      </c>
      <c r="AJ1244" s="17" t="s">
        <v>86</v>
      </c>
      <c r="AK1244" s="17" t="s">
        <v>95</v>
      </c>
      <c r="AL1244" s="17" t="s">
        <v>14653</v>
      </c>
      <c r="AM1244" s="17" t="s">
        <v>95</v>
      </c>
      <c r="AN1244" s="17" t="s">
        <v>86</v>
      </c>
      <c r="AO1244" s="17" t="s">
        <v>98</v>
      </c>
      <c r="AP1244" s="17" t="s">
        <v>98</v>
      </c>
      <c r="AQ1244" s="17" t="s">
        <v>98</v>
      </c>
      <c r="AR1244" s="17" t="s">
        <v>94</v>
      </c>
      <c r="AS1244" s="17" t="s">
        <v>14654</v>
      </c>
      <c r="AT1244" s="17">
        <v>270</v>
      </c>
      <c r="AU1244" s="30" t="s">
        <v>14655</v>
      </c>
      <c r="AV1244" s="14">
        <v>15865</v>
      </c>
      <c r="AW1244" s="74"/>
      <c r="AX1244" s="1"/>
      <c r="AY1244" s="17" t="s">
        <v>101</v>
      </c>
    </row>
    <row r="1245" spans="1:51" ht="12.75" customHeight="1" x14ac:dyDescent="0.25">
      <c r="A1245" s="5">
        <v>1186</v>
      </c>
      <c r="B1245" s="9">
        <v>1186</v>
      </c>
      <c r="C1245" s="9" t="s">
        <v>14656</v>
      </c>
      <c r="D1245" s="57" t="str">
        <f>HYPERLINK("http://prodenv.dep.state.fl.us/DepNexus/public/electronic-documents/OG_1186/facility!search","OG_1186_Docs")</f>
        <v>OG_1186_Docs</v>
      </c>
      <c r="E1245" s="57" t="str">
        <f>HYPERLINK("https://ca.dep.state.fl.us/mapdirect/?focus=oilandgas&amp;zoom=query&amp;querytype=oilandgas&amp;queryvalues=OG_1186","OG_1186_Map")</f>
        <v>OG_1186_Map</v>
      </c>
      <c r="F1245" s="1" t="s">
        <v>265</v>
      </c>
      <c r="G1245" s="1" t="s">
        <v>79</v>
      </c>
      <c r="H1245" s="1" t="s">
        <v>14616</v>
      </c>
      <c r="I1245" s="1" t="s">
        <v>14657</v>
      </c>
      <c r="J1245" s="17" t="s">
        <v>207</v>
      </c>
      <c r="K1245" s="17" t="s">
        <v>208</v>
      </c>
      <c r="L1245" s="17"/>
      <c r="M1245" s="17" t="s">
        <v>207</v>
      </c>
      <c r="N1245" s="52" t="s">
        <v>207</v>
      </c>
      <c r="O1245" s="17" t="s">
        <v>270</v>
      </c>
      <c r="P1245" s="17" t="s">
        <v>86</v>
      </c>
      <c r="Q1245" s="81" t="s">
        <v>14658</v>
      </c>
      <c r="R1245" s="11">
        <v>26.190055999999998</v>
      </c>
      <c r="S1245" s="11">
        <v>-80.915672000000001</v>
      </c>
      <c r="T1245" s="11" t="s">
        <v>14659</v>
      </c>
      <c r="U1245" s="11" t="s">
        <v>14660</v>
      </c>
      <c r="V1245" s="17" t="s">
        <v>6887</v>
      </c>
      <c r="W1245" s="17" t="s">
        <v>110</v>
      </c>
      <c r="X1245" s="70"/>
      <c r="Y1245" s="70"/>
      <c r="Z1245" s="13">
        <v>31525</v>
      </c>
      <c r="AA1245" s="13"/>
      <c r="AB1245" s="13"/>
      <c r="AC1245" s="13"/>
      <c r="AD1245" s="86"/>
      <c r="AE1245" s="86"/>
      <c r="AF1245" s="70" t="s">
        <v>207</v>
      </c>
      <c r="AG1245" s="14" t="s">
        <v>207</v>
      </c>
      <c r="AH1245" s="14" t="s">
        <v>207</v>
      </c>
      <c r="AI1245" s="70" t="s">
        <v>207</v>
      </c>
      <c r="AJ1245" s="14" t="s">
        <v>207</v>
      </c>
      <c r="AK1245" s="14" t="s">
        <v>207</v>
      </c>
      <c r="AL1245" s="14" t="s">
        <v>207</v>
      </c>
      <c r="AM1245" s="14" t="s">
        <v>207</v>
      </c>
      <c r="AN1245" s="14" t="s">
        <v>207</v>
      </c>
      <c r="AO1245" s="14" t="s">
        <v>207</v>
      </c>
      <c r="AP1245" s="14" t="s">
        <v>207</v>
      </c>
      <c r="AQ1245" s="14" t="s">
        <v>207</v>
      </c>
      <c r="AR1245" s="14" t="s">
        <v>207</v>
      </c>
      <c r="AS1245" s="14" t="s">
        <v>207</v>
      </c>
      <c r="AT1245" s="14" t="s">
        <v>207</v>
      </c>
      <c r="AU1245" s="30" t="s">
        <v>1843</v>
      </c>
      <c r="AV1245" s="14" t="s">
        <v>207</v>
      </c>
      <c r="AW1245" s="74"/>
      <c r="AX1245" s="1"/>
      <c r="AY1245" s="17" t="s">
        <v>101</v>
      </c>
    </row>
    <row r="1246" spans="1:51" ht="12.75" customHeight="1" x14ac:dyDescent="0.25">
      <c r="A1246" s="5">
        <v>1187</v>
      </c>
      <c r="B1246" s="9">
        <v>1187</v>
      </c>
      <c r="C1246" s="9" t="s">
        <v>14661</v>
      </c>
      <c r="D1246" s="57" t="str">
        <f>HYPERLINK("http://prodenv.dep.state.fl.us/DepNexus/public/electronic-documents/OG_1187/facility!search","OG_1187_Docs")</f>
        <v>OG_1187_Docs</v>
      </c>
      <c r="E1246" s="57" t="str">
        <f>HYPERLINK("https://ca.dep.state.fl.us/mapdirect/?focus=oilandgas&amp;zoom=query&amp;querytype=oilandgas&amp;queryvalues=OG_1187","OG_1187_Map")</f>
        <v>OG_1187_Map</v>
      </c>
      <c r="F1246" s="1" t="s">
        <v>1797</v>
      </c>
      <c r="G1246" s="1" t="s">
        <v>5133</v>
      </c>
      <c r="H1246" s="1" t="s">
        <v>8261</v>
      </c>
      <c r="I1246" s="1" t="s">
        <v>14662</v>
      </c>
      <c r="J1246" s="17" t="s">
        <v>268</v>
      </c>
      <c r="K1246" s="17" t="s">
        <v>412</v>
      </c>
      <c r="L1246" s="17"/>
      <c r="M1246" s="17"/>
      <c r="N1246" s="52" t="s">
        <v>14663</v>
      </c>
      <c r="O1246" s="17" t="s">
        <v>86</v>
      </c>
      <c r="P1246" s="17" t="s">
        <v>86</v>
      </c>
      <c r="Q1246" s="81" t="s">
        <v>5845</v>
      </c>
      <c r="R1246" s="11">
        <v>30.978487999999999</v>
      </c>
      <c r="S1246" s="11">
        <v>-87.151630999999995</v>
      </c>
      <c r="T1246" s="11" t="s">
        <v>14664</v>
      </c>
      <c r="U1246" s="11" t="s">
        <v>14665</v>
      </c>
      <c r="V1246" s="17" t="s">
        <v>14666</v>
      </c>
      <c r="W1246" s="17" t="s">
        <v>14667</v>
      </c>
      <c r="X1246" s="70">
        <v>270</v>
      </c>
      <c r="Y1246" s="70">
        <v>240</v>
      </c>
      <c r="Z1246" s="13">
        <v>31300</v>
      </c>
      <c r="AA1246" s="13">
        <v>31360</v>
      </c>
      <c r="AB1246" s="13">
        <v>31712</v>
      </c>
      <c r="AC1246" s="13">
        <v>32497</v>
      </c>
      <c r="AD1246" s="86">
        <v>15798</v>
      </c>
      <c r="AE1246" s="86">
        <v>15798</v>
      </c>
      <c r="AF1246" s="70" t="s">
        <v>14668</v>
      </c>
      <c r="AG1246" s="17" t="s">
        <v>14669</v>
      </c>
      <c r="AH1246" s="17" t="s">
        <v>86</v>
      </c>
      <c r="AI1246" s="70" t="s">
        <v>14670</v>
      </c>
      <c r="AJ1246" s="17" t="s">
        <v>14671</v>
      </c>
      <c r="AK1246" s="17" t="s">
        <v>825</v>
      </c>
      <c r="AL1246" s="17" t="s">
        <v>14672</v>
      </c>
      <c r="AM1246" s="17" t="s">
        <v>825</v>
      </c>
      <c r="AN1246" s="17" t="s">
        <v>86</v>
      </c>
      <c r="AO1246" s="17" t="s">
        <v>14673</v>
      </c>
      <c r="AP1246" s="17" t="s">
        <v>14674</v>
      </c>
      <c r="AQ1246" s="17" t="s">
        <v>14675</v>
      </c>
      <c r="AR1246" s="17" t="s">
        <v>14676</v>
      </c>
      <c r="AS1246" s="17" t="s">
        <v>14677</v>
      </c>
      <c r="AT1246" s="17">
        <v>246</v>
      </c>
      <c r="AU1246" s="30" t="s">
        <v>14678</v>
      </c>
      <c r="AV1246" s="14">
        <v>15894</v>
      </c>
      <c r="AW1246" s="74"/>
      <c r="AX1246" s="1"/>
      <c r="AY1246" s="17" t="s">
        <v>101</v>
      </c>
    </row>
    <row r="1247" spans="1:51" ht="12.75" customHeight="1" x14ac:dyDescent="0.25">
      <c r="A1247" s="5">
        <v>1188</v>
      </c>
      <c r="B1247" s="9">
        <v>1188</v>
      </c>
      <c r="C1247" s="9" t="s">
        <v>14679</v>
      </c>
      <c r="D1247" s="57" t="str">
        <f>HYPERLINK("http://prodenv.dep.state.fl.us/DepNexus/public/electronic-documents/OG_1188/facility!search","OG_1188_Docs")</f>
        <v>OG_1188_Docs</v>
      </c>
      <c r="E1247" s="57" t="str">
        <f>HYPERLINK("https://ca.dep.state.fl.us/mapdirect/?focus=oilandgas&amp;zoom=query&amp;querytype=oilandgas&amp;queryvalues=OG_1188","OG_1188_Map")</f>
        <v>OG_1188_Map</v>
      </c>
      <c r="F1247" s="1" t="s">
        <v>1797</v>
      </c>
      <c r="G1247" s="1" t="s">
        <v>6648</v>
      </c>
      <c r="H1247" s="1" t="s">
        <v>8261</v>
      </c>
      <c r="I1247" s="1" t="s">
        <v>14680</v>
      </c>
      <c r="J1247" s="17" t="s">
        <v>82</v>
      </c>
      <c r="K1247" s="17" t="s">
        <v>83</v>
      </c>
      <c r="L1247" s="17"/>
      <c r="M1247" s="17"/>
      <c r="N1247" s="52" t="s">
        <v>6529</v>
      </c>
      <c r="O1247" s="17" t="s">
        <v>86</v>
      </c>
      <c r="P1247" s="17" t="s">
        <v>86</v>
      </c>
      <c r="Q1247" s="81" t="s">
        <v>6958</v>
      </c>
      <c r="R1247" s="11">
        <v>30.851127999999999</v>
      </c>
      <c r="S1247" s="11">
        <v>-87.109161999999998</v>
      </c>
      <c r="T1247" s="11" t="s">
        <v>14681</v>
      </c>
      <c r="U1247" s="11" t="s">
        <v>14682</v>
      </c>
      <c r="V1247" s="17" t="s">
        <v>14683</v>
      </c>
      <c r="W1247" s="17" t="s">
        <v>14684</v>
      </c>
      <c r="X1247" s="70">
        <v>154</v>
      </c>
      <c r="Y1247" s="70">
        <v>128</v>
      </c>
      <c r="Z1247" s="13">
        <v>31300</v>
      </c>
      <c r="AA1247" s="13">
        <v>31364</v>
      </c>
      <c r="AB1247" s="13"/>
      <c r="AC1247" s="13">
        <v>31477</v>
      </c>
      <c r="AD1247" s="86"/>
      <c r="AE1247" s="86">
        <v>16240</v>
      </c>
      <c r="AF1247" s="70" t="s">
        <v>12169</v>
      </c>
      <c r="AG1247" s="17" t="s">
        <v>14685</v>
      </c>
      <c r="AH1247" s="17" t="s">
        <v>86</v>
      </c>
      <c r="AI1247" s="70" t="s">
        <v>86</v>
      </c>
      <c r="AJ1247" s="17" t="s">
        <v>86</v>
      </c>
      <c r="AK1247" s="17" t="s">
        <v>825</v>
      </c>
      <c r="AL1247" s="17" t="s">
        <v>14686</v>
      </c>
      <c r="AM1247" s="17" t="s">
        <v>825</v>
      </c>
      <c r="AN1247" s="17" t="s">
        <v>86</v>
      </c>
      <c r="AO1247" s="17" t="s">
        <v>98</v>
      </c>
      <c r="AP1247" s="17" t="s">
        <v>98</v>
      </c>
      <c r="AQ1247" s="17" t="s">
        <v>98</v>
      </c>
      <c r="AR1247" s="17" t="s">
        <v>94</v>
      </c>
      <c r="AS1247" s="17" t="s">
        <v>14687</v>
      </c>
      <c r="AT1247" s="17">
        <v>242</v>
      </c>
      <c r="AU1247" s="30" t="s">
        <v>14688</v>
      </c>
      <c r="AV1247" s="14">
        <v>15893</v>
      </c>
      <c r="AW1247" s="74"/>
      <c r="AX1247" s="1"/>
      <c r="AY1247" s="17" t="s">
        <v>101</v>
      </c>
    </row>
    <row r="1248" spans="1:51" ht="15" customHeight="1" x14ac:dyDescent="0.25">
      <c r="A1248" s="5">
        <v>1188.0999999999999</v>
      </c>
      <c r="B1248" s="9" t="s">
        <v>14689</v>
      </c>
      <c r="C1248" s="9" t="s">
        <v>14679</v>
      </c>
      <c r="D1248" s="57" t="str">
        <f>HYPERLINK("http://prodenv.dep.state.fl.us/DepNexus/public/electronic-documents/OG_1188/facility!search","OG_1188_Docs")</f>
        <v>OG_1188_Docs</v>
      </c>
      <c r="E1248" s="57" t="str">
        <f>HYPERLINK("https://ca.dep.state.fl.us/mapdirect/?focus=oilandgas&amp;zoom=query&amp;querytype=oilandgas&amp;queryvalues=OG_1188","OG_1188_Map")</f>
        <v>OG_1188_Map</v>
      </c>
      <c r="F1248" s="1" t="s">
        <v>1797</v>
      </c>
      <c r="G1248" s="1" t="s">
        <v>6648</v>
      </c>
      <c r="H1248" s="1" t="s">
        <v>11502</v>
      </c>
      <c r="I1248" s="1" t="s">
        <v>14690</v>
      </c>
      <c r="J1248" s="17" t="s">
        <v>82</v>
      </c>
      <c r="K1248" s="17" t="s">
        <v>83</v>
      </c>
      <c r="L1248" s="17"/>
      <c r="M1248" s="17"/>
      <c r="N1248" s="52" t="s">
        <v>14691</v>
      </c>
      <c r="O1248" s="17" t="s">
        <v>86</v>
      </c>
      <c r="P1248" s="17" t="s">
        <v>86</v>
      </c>
      <c r="Q1248" s="81" t="s">
        <v>7530</v>
      </c>
      <c r="R1248" s="11">
        <v>30.851127999999999</v>
      </c>
      <c r="S1248" s="11">
        <v>-87.109161999999998</v>
      </c>
      <c r="T1248" s="11" t="s">
        <v>14681</v>
      </c>
      <c r="U1248" s="11" t="s">
        <v>14682</v>
      </c>
      <c r="V1248" s="17" t="s">
        <v>14692</v>
      </c>
      <c r="W1248" s="17" t="s">
        <v>14693</v>
      </c>
      <c r="X1248" s="70">
        <v>154</v>
      </c>
      <c r="Y1248" s="70">
        <v>127</v>
      </c>
      <c r="Z1248" s="13">
        <v>31429</v>
      </c>
      <c r="AA1248" s="13">
        <v>31364</v>
      </c>
      <c r="AB1248" s="13">
        <v>31477</v>
      </c>
      <c r="AC1248" s="13">
        <v>31477</v>
      </c>
      <c r="AD1248" s="86"/>
      <c r="AE1248" s="86">
        <v>16075</v>
      </c>
      <c r="AF1248" s="70" t="s">
        <v>14694</v>
      </c>
      <c r="AG1248" s="17" t="s">
        <v>14695</v>
      </c>
      <c r="AH1248" s="17" t="s">
        <v>94</v>
      </c>
      <c r="AI1248" s="70" t="s">
        <v>94</v>
      </c>
      <c r="AJ1248" s="17" t="s">
        <v>94</v>
      </c>
      <c r="AK1248" s="17" t="s">
        <v>94</v>
      </c>
      <c r="AL1248" s="17" t="s">
        <v>14696</v>
      </c>
      <c r="AM1248" s="17" t="s">
        <v>94</v>
      </c>
      <c r="AN1248" s="17" t="s">
        <v>94</v>
      </c>
      <c r="AO1248" s="17" t="s">
        <v>98</v>
      </c>
      <c r="AP1248" s="17" t="s">
        <v>98</v>
      </c>
      <c r="AQ1248" s="17" t="s">
        <v>98</v>
      </c>
      <c r="AR1248" s="17" t="s">
        <v>94</v>
      </c>
      <c r="AS1248" s="17" t="s">
        <v>14697</v>
      </c>
      <c r="AT1248" s="17">
        <v>250</v>
      </c>
      <c r="AU1248" s="30" t="s">
        <v>14698</v>
      </c>
      <c r="AV1248" s="14">
        <v>15893</v>
      </c>
      <c r="AW1248" s="74"/>
      <c r="AX1248" s="1"/>
      <c r="AY1248" s="17" t="s">
        <v>101</v>
      </c>
    </row>
    <row r="1249" spans="1:51" ht="12.75" customHeight="1" x14ac:dyDescent="0.25">
      <c r="A1249" s="5">
        <v>1189</v>
      </c>
      <c r="B1249" s="9">
        <v>1189</v>
      </c>
      <c r="C1249" s="9" t="s">
        <v>14699</v>
      </c>
      <c r="D1249" s="57" t="str">
        <f>HYPERLINK("http://prodenv.dep.state.fl.us/DepNexus/public/electronic-documents/OG_1189/facility!search","OG_1189_Docs")</f>
        <v>OG_1189_Docs</v>
      </c>
      <c r="E1249" s="57" t="str">
        <f>HYPERLINK("https://ca.dep.state.fl.us/mapdirect/?focus=oilandgas&amp;zoom=query&amp;querytype=oilandgas&amp;queryvalues=OG_1189","OG_1189_Map")</f>
        <v>OG_1189_Map</v>
      </c>
      <c r="F1249" s="1" t="s">
        <v>1797</v>
      </c>
      <c r="G1249" s="1" t="s">
        <v>5133</v>
      </c>
      <c r="H1249" s="1" t="s">
        <v>8261</v>
      </c>
      <c r="I1249" s="1" t="s">
        <v>14700</v>
      </c>
      <c r="J1249" s="17" t="s">
        <v>207</v>
      </c>
      <c r="K1249" s="17" t="s">
        <v>208</v>
      </c>
      <c r="L1249" s="17"/>
      <c r="M1249" s="17" t="s">
        <v>207</v>
      </c>
      <c r="N1249" s="52" t="s">
        <v>207</v>
      </c>
      <c r="O1249" s="17" t="s">
        <v>86</v>
      </c>
      <c r="P1249" s="17" t="s">
        <v>86</v>
      </c>
      <c r="Q1249" s="81" t="s">
        <v>5861</v>
      </c>
      <c r="R1249" s="11">
        <v>30.973934</v>
      </c>
      <c r="S1249" s="11">
        <v>-87.147236000000007</v>
      </c>
      <c r="T1249" s="11" t="s">
        <v>14701</v>
      </c>
      <c r="U1249" s="11" t="s">
        <v>14702</v>
      </c>
      <c r="V1249" s="17" t="s">
        <v>14703</v>
      </c>
      <c r="W1249" s="17" t="s">
        <v>14704</v>
      </c>
      <c r="X1249" s="70"/>
      <c r="Y1249" s="70"/>
      <c r="Z1249" s="13">
        <v>31300</v>
      </c>
      <c r="AA1249" s="13"/>
      <c r="AB1249" s="13"/>
      <c r="AC1249" s="13"/>
      <c r="AD1249" s="86"/>
      <c r="AE1249" s="86"/>
      <c r="AF1249" s="70" t="s">
        <v>207</v>
      </c>
      <c r="AG1249" s="14" t="s">
        <v>207</v>
      </c>
      <c r="AH1249" s="14" t="s">
        <v>207</v>
      </c>
      <c r="AI1249" s="70" t="s">
        <v>207</v>
      </c>
      <c r="AJ1249" s="14" t="s">
        <v>207</v>
      </c>
      <c r="AK1249" s="14" t="s">
        <v>207</v>
      </c>
      <c r="AL1249" s="14" t="s">
        <v>207</v>
      </c>
      <c r="AM1249" s="14" t="s">
        <v>207</v>
      </c>
      <c r="AN1249" s="14" t="s">
        <v>207</v>
      </c>
      <c r="AO1249" s="14" t="s">
        <v>207</v>
      </c>
      <c r="AP1249" s="14" t="s">
        <v>207</v>
      </c>
      <c r="AQ1249" s="14" t="s">
        <v>207</v>
      </c>
      <c r="AR1249" s="14" t="s">
        <v>207</v>
      </c>
      <c r="AS1249" s="14" t="s">
        <v>207</v>
      </c>
      <c r="AT1249" s="14" t="s">
        <v>207</v>
      </c>
      <c r="AU1249" s="30" t="s">
        <v>1843</v>
      </c>
      <c r="AV1249" s="14" t="s">
        <v>207</v>
      </c>
      <c r="AW1249" s="74"/>
      <c r="AX1249" s="1"/>
      <c r="AY1249" s="17" t="s">
        <v>101</v>
      </c>
    </row>
    <row r="1250" spans="1:51" ht="12.75" customHeight="1" x14ac:dyDescent="0.25">
      <c r="A1250" s="5">
        <v>1190</v>
      </c>
      <c r="B1250" s="9">
        <v>1190</v>
      </c>
      <c r="C1250" s="9" t="s">
        <v>14705</v>
      </c>
      <c r="D1250" s="57" t="str">
        <f>HYPERLINK("http://prodenv.dep.state.fl.us/DepNexus/public/electronic-documents/OG_1190/facility!search","OG_1190_Docs")</f>
        <v>OG_1190_Docs</v>
      </c>
      <c r="E1250" s="57" t="str">
        <f>HYPERLINK("https://ca.dep.state.fl.us/mapdirect/?focus=oilandgas&amp;zoom=query&amp;querytype=oilandgas&amp;queryvalues=OG_1190","OG_1190_Map")</f>
        <v>OG_1190_Map</v>
      </c>
      <c r="F1250" s="1" t="s">
        <v>265</v>
      </c>
      <c r="G1250" s="1" t="s">
        <v>10452</v>
      </c>
      <c r="H1250" s="1" t="s">
        <v>8318</v>
      </c>
      <c r="I1250" s="1" t="s">
        <v>14536</v>
      </c>
      <c r="J1250" s="17" t="s">
        <v>268</v>
      </c>
      <c r="K1250" s="17" t="s">
        <v>5048</v>
      </c>
      <c r="L1250" s="17"/>
      <c r="M1250" s="17"/>
      <c r="N1250" s="52" t="s">
        <v>4735</v>
      </c>
      <c r="O1250" s="17" t="s">
        <v>270</v>
      </c>
      <c r="P1250" s="17" t="s">
        <v>3395</v>
      </c>
      <c r="Q1250" s="81" t="s">
        <v>13435</v>
      </c>
      <c r="R1250" s="11">
        <v>25.977276</v>
      </c>
      <c r="S1250" s="11">
        <v>-80.903493999999995</v>
      </c>
      <c r="T1250" s="11" t="s">
        <v>14706</v>
      </c>
      <c r="U1250" s="11" t="s">
        <v>14707</v>
      </c>
      <c r="V1250" s="17" t="s">
        <v>14708</v>
      </c>
      <c r="W1250" s="17" t="s">
        <v>13115</v>
      </c>
      <c r="X1250" s="70">
        <v>35</v>
      </c>
      <c r="Y1250" s="70">
        <v>12</v>
      </c>
      <c r="Z1250" s="13">
        <v>31335</v>
      </c>
      <c r="AA1250" s="13">
        <v>31401</v>
      </c>
      <c r="AB1250" s="13">
        <v>31648</v>
      </c>
      <c r="AC1250" s="13">
        <v>35788</v>
      </c>
      <c r="AD1250" s="86">
        <v>11402</v>
      </c>
      <c r="AE1250" s="86">
        <v>13325</v>
      </c>
      <c r="AF1250" s="70" t="s">
        <v>14709</v>
      </c>
      <c r="AG1250" s="17" t="s">
        <v>14710</v>
      </c>
      <c r="AH1250" s="17" t="s">
        <v>12656</v>
      </c>
      <c r="AI1250" s="70" t="s">
        <v>14711</v>
      </c>
      <c r="AJ1250" s="17" t="s">
        <v>14712</v>
      </c>
      <c r="AK1250" s="17" t="s">
        <v>825</v>
      </c>
      <c r="AL1250" s="17" t="s">
        <v>14713</v>
      </c>
      <c r="AM1250" s="17" t="s">
        <v>825</v>
      </c>
      <c r="AN1250" s="17" t="s">
        <v>86</v>
      </c>
      <c r="AO1250" s="17" t="s">
        <v>13885</v>
      </c>
      <c r="AP1250" s="17" t="s">
        <v>14714</v>
      </c>
      <c r="AQ1250" s="17" t="s">
        <v>14715</v>
      </c>
      <c r="AR1250" s="17" t="s">
        <v>14716</v>
      </c>
      <c r="AS1250" s="17" t="s">
        <v>14717</v>
      </c>
      <c r="AT1250" s="17">
        <v>167</v>
      </c>
      <c r="AU1250" s="30" t="s">
        <v>14718</v>
      </c>
      <c r="AV1250" s="14">
        <v>15914</v>
      </c>
      <c r="AW1250" s="74"/>
      <c r="AX1250" s="1"/>
      <c r="AY1250" s="17" t="s">
        <v>101</v>
      </c>
    </row>
    <row r="1251" spans="1:51" ht="12.75" customHeight="1" x14ac:dyDescent="0.25">
      <c r="A1251" s="5">
        <v>1190.0999999999999</v>
      </c>
      <c r="B1251" s="9" t="s">
        <v>14719</v>
      </c>
      <c r="C1251" s="9" t="s">
        <v>14705</v>
      </c>
      <c r="D1251" s="57" t="str">
        <f>HYPERLINK("http://prodenv.dep.state.fl.us/DepNexus/public/electronic-documents/OG_1190/facility!search","OG_1190_Docs")</f>
        <v>OG_1190_Docs</v>
      </c>
      <c r="E1251" s="57" t="str">
        <f>HYPERLINK("https://ca.dep.state.fl.us/mapdirect/?focus=oilandgas&amp;zoom=query&amp;querytype=oilandgas&amp;queryvalues=OG_1190","OG_1190_Map")</f>
        <v>OG_1190_Map</v>
      </c>
      <c r="F1251" s="1" t="s">
        <v>265</v>
      </c>
      <c r="G1251" s="1" t="s">
        <v>10452</v>
      </c>
      <c r="H1251" s="1" t="s">
        <v>1363</v>
      </c>
      <c r="I1251" s="1" t="s">
        <v>14720</v>
      </c>
      <c r="J1251" s="17" t="s">
        <v>3646</v>
      </c>
      <c r="K1251" s="17" t="s">
        <v>412</v>
      </c>
      <c r="L1251" s="17"/>
      <c r="M1251" s="17" t="s">
        <v>84</v>
      </c>
      <c r="N1251" s="52" t="s">
        <v>14721</v>
      </c>
      <c r="O1251" s="17" t="s">
        <v>270</v>
      </c>
      <c r="P1251" s="17" t="s">
        <v>3395</v>
      </c>
      <c r="Q1251" s="81" t="s">
        <v>14722</v>
      </c>
      <c r="R1251" s="11">
        <v>25.977276</v>
      </c>
      <c r="S1251" s="11">
        <v>-80.903493999999995</v>
      </c>
      <c r="T1251" s="11" t="s">
        <v>14706</v>
      </c>
      <c r="U1251" s="11" t="s">
        <v>14707</v>
      </c>
      <c r="V1251" s="17" t="s">
        <v>14708</v>
      </c>
      <c r="W1251" s="17" t="s">
        <v>14723</v>
      </c>
      <c r="X1251" s="70">
        <v>27</v>
      </c>
      <c r="Y1251" s="70">
        <v>12</v>
      </c>
      <c r="Z1251" s="13">
        <v>35877</v>
      </c>
      <c r="AA1251" s="13">
        <v>35915</v>
      </c>
      <c r="AB1251" s="13">
        <v>35957</v>
      </c>
      <c r="AC1251" s="13"/>
      <c r="AD1251" s="86">
        <v>11349</v>
      </c>
      <c r="AE1251" s="86">
        <v>16170</v>
      </c>
      <c r="AF1251" s="70" t="s">
        <v>14724</v>
      </c>
      <c r="AG1251" s="17" t="s">
        <v>14725</v>
      </c>
      <c r="AH1251" s="17" t="s">
        <v>9131</v>
      </c>
      <c r="AI1251" s="70" t="s">
        <v>14726</v>
      </c>
      <c r="AJ1251" s="17" t="s">
        <v>14727</v>
      </c>
      <c r="AK1251" s="17"/>
      <c r="AL1251" s="17"/>
      <c r="AM1251" s="17"/>
      <c r="AN1251" s="17" t="s">
        <v>86</v>
      </c>
      <c r="AO1251" s="17" t="s">
        <v>14728</v>
      </c>
      <c r="AP1251" s="17" t="s">
        <v>14729</v>
      </c>
      <c r="AQ1251" s="17" t="s">
        <v>14730</v>
      </c>
      <c r="AR1251" s="17" t="s">
        <v>14731</v>
      </c>
      <c r="AS1251" s="17"/>
      <c r="AT1251" s="17"/>
      <c r="AU1251" s="30" t="s">
        <v>14732</v>
      </c>
      <c r="AV1251" s="14"/>
      <c r="AW1251" s="74">
        <v>306478</v>
      </c>
      <c r="AX1251" s="1"/>
      <c r="AY1251" s="17" t="s">
        <v>101</v>
      </c>
    </row>
    <row r="1252" spans="1:51" ht="15" customHeight="1" x14ac:dyDescent="0.25">
      <c r="A1252" s="5">
        <v>1191</v>
      </c>
      <c r="B1252" s="9">
        <v>1191</v>
      </c>
      <c r="C1252" s="9" t="s">
        <v>14733</v>
      </c>
      <c r="D1252" s="57" t="str">
        <f>HYPERLINK("http://prodenv.dep.state.fl.us/DepNexus/public/electronic-documents/OG_1191/facility!search","OG_1191_Docs")</f>
        <v>OG_1191_Docs</v>
      </c>
      <c r="E1252" s="57" t="str">
        <f>HYPERLINK("https://ca.dep.state.fl.us/mapdirect/?focus=oilandgas&amp;zoom=query&amp;querytype=oilandgas&amp;queryvalues=OG_1191","OG_1191_Map")</f>
        <v>OG_1191_Map</v>
      </c>
      <c r="F1252" s="1" t="s">
        <v>1797</v>
      </c>
      <c r="G1252" s="1" t="s">
        <v>5133</v>
      </c>
      <c r="H1252" s="1" t="s">
        <v>8261</v>
      </c>
      <c r="I1252" s="1" t="s">
        <v>14734</v>
      </c>
      <c r="J1252" s="17" t="s">
        <v>268</v>
      </c>
      <c r="K1252" s="17" t="s">
        <v>412</v>
      </c>
      <c r="L1252" s="17"/>
      <c r="M1252" s="17"/>
      <c r="N1252" s="52" t="s">
        <v>14735</v>
      </c>
      <c r="O1252" s="17" t="s">
        <v>86</v>
      </c>
      <c r="P1252" s="17" t="s">
        <v>86</v>
      </c>
      <c r="Q1252" s="81" t="s">
        <v>5861</v>
      </c>
      <c r="R1252" s="11">
        <v>30.973307999999999</v>
      </c>
      <c r="S1252" s="11">
        <v>-87.148816999999994</v>
      </c>
      <c r="T1252" s="11" t="s">
        <v>14736</v>
      </c>
      <c r="U1252" s="11" t="s">
        <v>14737</v>
      </c>
      <c r="V1252" s="17" t="s">
        <v>14738</v>
      </c>
      <c r="W1252" s="17" t="s">
        <v>14739</v>
      </c>
      <c r="X1252" s="70">
        <v>262</v>
      </c>
      <c r="Y1252" s="70">
        <v>237</v>
      </c>
      <c r="Z1252" s="13">
        <v>31308</v>
      </c>
      <c r="AA1252" s="13">
        <v>31348</v>
      </c>
      <c r="AB1252" s="13">
        <v>31522</v>
      </c>
      <c r="AC1252" s="13">
        <v>38130</v>
      </c>
      <c r="AD1252" s="86">
        <v>15478</v>
      </c>
      <c r="AE1252" s="86">
        <v>15880</v>
      </c>
      <c r="AF1252" s="70" t="s">
        <v>14740</v>
      </c>
      <c r="AG1252" s="17" t="s">
        <v>14741</v>
      </c>
      <c r="AH1252" s="17" t="s">
        <v>86</v>
      </c>
      <c r="AI1252" s="70" t="s">
        <v>14742</v>
      </c>
      <c r="AJ1252" s="17" t="s">
        <v>14743</v>
      </c>
      <c r="AK1252" s="17" t="s">
        <v>825</v>
      </c>
      <c r="AL1252" s="17" t="s">
        <v>14744</v>
      </c>
      <c r="AM1252" s="17" t="s">
        <v>825</v>
      </c>
      <c r="AN1252" s="17" t="s">
        <v>86</v>
      </c>
      <c r="AO1252" s="17" t="s">
        <v>14745</v>
      </c>
      <c r="AP1252" s="17" t="s">
        <v>14746</v>
      </c>
      <c r="AQ1252" s="17" t="s">
        <v>14747</v>
      </c>
      <c r="AR1252" s="17" t="s">
        <v>14748</v>
      </c>
      <c r="AS1252" s="17" t="s">
        <v>86</v>
      </c>
      <c r="AT1252" s="17">
        <v>250</v>
      </c>
      <c r="AU1252" s="30" t="s">
        <v>14749</v>
      </c>
      <c r="AV1252" s="14">
        <v>15892</v>
      </c>
      <c r="AW1252" s="74"/>
      <c r="AX1252" s="1"/>
      <c r="AY1252" s="17" t="s">
        <v>101</v>
      </c>
    </row>
    <row r="1253" spans="1:51" ht="15" customHeight="1" x14ac:dyDescent="0.25">
      <c r="A1253" s="5">
        <v>1192</v>
      </c>
      <c r="B1253" s="9">
        <v>1192</v>
      </c>
      <c r="C1253" s="9" t="s">
        <v>14750</v>
      </c>
      <c r="D1253" s="57" t="str">
        <f>HYPERLINK("http://prodenv.dep.state.fl.us/DepNexus/public/electronic-documents/OG_1192/facility!search","OG_1192_Docs")</f>
        <v>OG_1192_Docs</v>
      </c>
      <c r="E1253" s="57" t="str">
        <f>HYPERLINK("https://ca.dep.state.fl.us/mapdirect/?focus=oilandgas&amp;zoom=query&amp;querytype=oilandgas&amp;queryvalues=OG_1192","OG_1192_Map")</f>
        <v>OG_1192_Map</v>
      </c>
      <c r="F1253" s="1" t="s">
        <v>1797</v>
      </c>
      <c r="G1253" s="1" t="s">
        <v>5133</v>
      </c>
      <c r="H1253" s="1" t="s">
        <v>1363</v>
      </c>
      <c r="I1253" s="1" t="s">
        <v>14751</v>
      </c>
      <c r="J1253" s="17" t="s">
        <v>3646</v>
      </c>
      <c r="K1253" s="17" t="s">
        <v>412</v>
      </c>
      <c r="L1253" s="17"/>
      <c r="M1253" s="17"/>
      <c r="N1253" s="52" t="s">
        <v>14752</v>
      </c>
      <c r="O1253" s="17" t="s">
        <v>86</v>
      </c>
      <c r="P1253" s="17" t="s">
        <v>86</v>
      </c>
      <c r="Q1253" s="81" t="s">
        <v>6502</v>
      </c>
      <c r="R1253" s="11">
        <v>30.965281999999998</v>
      </c>
      <c r="S1253" s="11">
        <v>-87.149569</v>
      </c>
      <c r="T1253" s="11" t="s">
        <v>14753</v>
      </c>
      <c r="U1253" s="11" t="s">
        <v>14754</v>
      </c>
      <c r="V1253" s="17" t="s">
        <v>14755</v>
      </c>
      <c r="W1253" s="17" t="s">
        <v>14756</v>
      </c>
      <c r="X1253" s="70">
        <v>220</v>
      </c>
      <c r="Y1253" s="70">
        <v>197</v>
      </c>
      <c r="Z1253" s="13">
        <v>31308</v>
      </c>
      <c r="AA1253" s="13">
        <v>31374</v>
      </c>
      <c r="AB1253" s="13">
        <v>31470</v>
      </c>
      <c r="AC1253" s="13"/>
      <c r="AD1253" s="86">
        <v>15760</v>
      </c>
      <c r="AE1253" s="86">
        <v>15760</v>
      </c>
      <c r="AF1253" s="70" t="s">
        <v>14757</v>
      </c>
      <c r="AG1253" s="17" t="s">
        <v>14758</v>
      </c>
      <c r="AH1253" s="17" t="s">
        <v>86</v>
      </c>
      <c r="AI1253" s="70" t="s">
        <v>14759</v>
      </c>
      <c r="AJ1253" s="17" t="s">
        <v>14760</v>
      </c>
      <c r="AK1253" s="17" t="s">
        <v>825</v>
      </c>
      <c r="AL1253" s="17" t="s">
        <v>14761</v>
      </c>
      <c r="AM1253" s="17" t="s">
        <v>825</v>
      </c>
      <c r="AN1253" s="17" t="s">
        <v>86</v>
      </c>
      <c r="AO1253" s="17" t="s">
        <v>14762</v>
      </c>
      <c r="AP1253" s="17" t="s">
        <v>14763</v>
      </c>
      <c r="AQ1253" s="17" t="s">
        <v>14764</v>
      </c>
      <c r="AR1253" s="17" t="s">
        <v>14765</v>
      </c>
      <c r="AS1253" s="17" t="s">
        <v>86</v>
      </c>
      <c r="AT1253" s="17">
        <v>238</v>
      </c>
      <c r="AU1253" s="30" t="s">
        <v>14766</v>
      </c>
      <c r="AV1253" s="14">
        <v>15891</v>
      </c>
      <c r="AW1253" s="74">
        <v>309910</v>
      </c>
      <c r="AX1253" s="1"/>
      <c r="AY1253" s="17" t="s">
        <v>101</v>
      </c>
    </row>
    <row r="1254" spans="1:51" ht="15" customHeight="1" x14ac:dyDescent="0.25">
      <c r="A1254" s="5">
        <v>1193</v>
      </c>
      <c r="B1254" s="9">
        <v>1193</v>
      </c>
      <c r="C1254" s="9" t="s">
        <v>14767</v>
      </c>
      <c r="D1254" s="57" t="str">
        <f>HYPERLINK("http://prodenv.dep.state.fl.us/DepNexus/public/electronic-documents/OG_1193/facility!search","OG_1193_Docs")</f>
        <v>OG_1193_Docs</v>
      </c>
      <c r="E1254" s="57" t="str">
        <f>HYPERLINK("https://ca.dep.state.fl.us/mapdirect/?focus=oilandgas&amp;zoom=query&amp;querytype=oilandgas&amp;queryvalues=OG_1193","OG_1193_Map")</f>
        <v>OG_1193_Map</v>
      </c>
      <c r="F1254" s="1" t="s">
        <v>1837</v>
      </c>
      <c r="G1254" s="1" t="s">
        <v>79</v>
      </c>
      <c r="H1254" s="1" t="s">
        <v>14542</v>
      </c>
      <c r="I1254" s="1" t="s">
        <v>14768</v>
      </c>
      <c r="J1254" s="17" t="s">
        <v>82</v>
      </c>
      <c r="K1254" s="17" t="s">
        <v>83</v>
      </c>
      <c r="L1254" s="17"/>
      <c r="M1254" s="17" t="s">
        <v>101</v>
      </c>
      <c r="N1254" s="52" t="s">
        <v>14769</v>
      </c>
      <c r="O1254" s="17" t="s">
        <v>86</v>
      </c>
      <c r="P1254" s="17" t="s">
        <v>86</v>
      </c>
      <c r="Q1254" s="81" t="s">
        <v>14770</v>
      </c>
      <c r="R1254" s="11">
        <v>27.058173</v>
      </c>
      <c r="S1254" s="11">
        <v>-81.194889000000003</v>
      </c>
      <c r="T1254" s="11" t="s">
        <v>14771</v>
      </c>
      <c r="U1254" s="11" t="s">
        <v>14772</v>
      </c>
      <c r="V1254" s="17" t="s">
        <v>14773</v>
      </c>
      <c r="W1254" s="17" t="s">
        <v>110</v>
      </c>
      <c r="X1254" s="70">
        <v>55</v>
      </c>
      <c r="Y1254" s="70">
        <v>32</v>
      </c>
      <c r="Z1254" s="13">
        <v>31308</v>
      </c>
      <c r="AA1254" s="13">
        <v>31430</v>
      </c>
      <c r="AB1254" s="13">
        <v>31457</v>
      </c>
      <c r="AC1254" s="13">
        <v>31457</v>
      </c>
      <c r="AD1254" s="86">
        <v>9238</v>
      </c>
      <c r="AE1254" s="86">
        <v>9238</v>
      </c>
      <c r="AF1254" s="70" t="s">
        <v>12642</v>
      </c>
      <c r="AG1254" s="17" t="s">
        <v>14774</v>
      </c>
      <c r="AH1254" s="17" t="s">
        <v>14775</v>
      </c>
      <c r="AI1254" s="70" t="s">
        <v>86</v>
      </c>
      <c r="AJ1254" s="17" t="s">
        <v>86</v>
      </c>
      <c r="AK1254" s="17" t="s">
        <v>95</v>
      </c>
      <c r="AL1254" s="17" t="s">
        <v>86</v>
      </c>
      <c r="AM1254" s="17" t="s">
        <v>94</v>
      </c>
      <c r="AN1254" s="17" t="s">
        <v>86</v>
      </c>
      <c r="AO1254" s="17" t="s">
        <v>98</v>
      </c>
      <c r="AP1254" s="17" t="s">
        <v>98</v>
      </c>
      <c r="AQ1254" s="17" t="s">
        <v>98</v>
      </c>
      <c r="AR1254" s="17" t="s">
        <v>94</v>
      </c>
      <c r="AS1254" s="17" t="s">
        <v>14776</v>
      </c>
      <c r="AT1254" s="17">
        <v>144</v>
      </c>
      <c r="AU1254" s="30" t="s">
        <v>14777</v>
      </c>
      <c r="AV1254" s="14">
        <v>15880</v>
      </c>
      <c r="AW1254" s="74"/>
      <c r="AX1254" s="1"/>
      <c r="AY1254" s="17" t="s">
        <v>101</v>
      </c>
    </row>
    <row r="1255" spans="1:51" ht="15" customHeight="1" x14ac:dyDescent="0.25">
      <c r="A1255" s="5">
        <v>1194</v>
      </c>
      <c r="B1255" s="9">
        <v>1194</v>
      </c>
      <c r="C1255" s="9" t="s">
        <v>14778</v>
      </c>
      <c r="D1255" s="57" t="str">
        <f>HYPERLINK("http://prodenv.dep.state.fl.us/DepNexus/public/electronic-documents/OG_1194/facility!search","OG_1194_Docs")</f>
        <v>OG_1194_Docs</v>
      </c>
      <c r="E1255" s="57" t="str">
        <f>HYPERLINK("https://ca.dep.state.fl.us/mapdirect/?focus=oilandgas&amp;zoom=query&amp;querytype=oilandgas&amp;queryvalues=OG_1194","OG_1194_Map")</f>
        <v>OG_1194_Map</v>
      </c>
      <c r="F1255" s="1" t="s">
        <v>1797</v>
      </c>
      <c r="G1255" s="1" t="s">
        <v>14779</v>
      </c>
      <c r="H1255" s="1" t="s">
        <v>8261</v>
      </c>
      <c r="I1255" s="1" t="s">
        <v>14780</v>
      </c>
      <c r="J1255" s="17" t="s">
        <v>268</v>
      </c>
      <c r="K1255" s="17" t="s">
        <v>2105</v>
      </c>
      <c r="L1255" s="17"/>
      <c r="M1255" s="17" t="s">
        <v>101</v>
      </c>
      <c r="N1255" s="52" t="s">
        <v>14781</v>
      </c>
      <c r="O1255" s="17" t="s">
        <v>1962</v>
      </c>
      <c r="P1255" s="17" t="s">
        <v>86</v>
      </c>
      <c r="Q1255" s="81" t="s">
        <v>14782</v>
      </c>
      <c r="R1255" s="11">
        <v>30.98555</v>
      </c>
      <c r="S1255" s="11">
        <v>-86.839995000000002</v>
      </c>
      <c r="T1255" s="11" t="s">
        <v>14783</v>
      </c>
      <c r="U1255" s="11" t="s">
        <v>14784</v>
      </c>
      <c r="V1255" s="17" t="s">
        <v>14785</v>
      </c>
      <c r="W1255" s="17" t="s">
        <v>110</v>
      </c>
      <c r="X1255" s="70">
        <v>244</v>
      </c>
      <c r="Y1255" s="70">
        <v>213</v>
      </c>
      <c r="Z1255" s="13">
        <v>31341</v>
      </c>
      <c r="AA1255" s="13">
        <v>31412</v>
      </c>
      <c r="AB1255" s="13">
        <v>31462</v>
      </c>
      <c r="AC1255" s="13">
        <v>40906</v>
      </c>
      <c r="AD1255" s="86">
        <v>14475</v>
      </c>
      <c r="AE1255" s="86">
        <v>14475</v>
      </c>
      <c r="AF1255" s="70" t="s">
        <v>14364</v>
      </c>
      <c r="AG1255" s="17" t="s">
        <v>11617</v>
      </c>
      <c r="AH1255" s="17" t="s">
        <v>86</v>
      </c>
      <c r="AI1255" s="70" t="s">
        <v>14786</v>
      </c>
      <c r="AJ1255" s="17" t="s">
        <v>14787</v>
      </c>
      <c r="AK1255" s="17" t="s">
        <v>95</v>
      </c>
      <c r="AL1255" s="17" t="s">
        <v>14788</v>
      </c>
      <c r="AM1255" s="17" t="s">
        <v>95</v>
      </c>
      <c r="AN1255" s="17" t="s">
        <v>86</v>
      </c>
      <c r="AO1255" s="17" t="s">
        <v>14288</v>
      </c>
      <c r="AP1255" s="17" t="s">
        <v>6135</v>
      </c>
      <c r="AQ1255" s="17" t="s">
        <v>10995</v>
      </c>
      <c r="AR1255" s="17" t="s">
        <v>14789</v>
      </c>
      <c r="AS1255" s="17" t="s">
        <v>86</v>
      </c>
      <c r="AT1255" s="17">
        <v>220</v>
      </c>
      <c r="AU1255" s="30" t="s">
        <v>14790</v>
      </c>
      <c r="AV1255" s="14">
        <v>15915</v>
      </c>
      <c r="AW1255" s="74"/>
      <c r="AX1255" s="39" t="s">
        <v>14791</v>
      </c>
      <c r="AY1255" s="17" t="s">
        <v>101</v>
      </c>
    </row>
    <row r="1256" spans="1:51" ht="12.75" customHeight="1" x14ac:dyDescent="0.25">
      <c r="A1256" s="5">
        <v>1195</v>
      </c>
      <c r="B1256" s="9">
        <v>1195</v>
      </c>
      <c r="C1256" s="9" t="s">
        <v>14792</v>
      </c>
      <c r="D1256" s="57" t="str">
        <f>HYPERLINK("http://prodenv.dep.state.fl.us/DepNexus/public/electronic-documents/OG_1195/facility!search","OG_1195_Docs")</f>
        <v>OG_1195_Docs</v>
      </c>
      <c r="E1256" s="57" t="str">
        <f>HYPERLINK("https://ca.dep.state.fl.us/mapdirect/?focus=oilandgas&amp;zoom=query&amp;querytype=oilandgas&amp;queryvalues=OG_1195","OG_1195_Map")</f>
        <v>OG_1195_Map</v>
      </c>
      <c r="F1256" s="1" t="s">
        <v>1797</v>
      </c>
      <c r="G1256" s="1" t="s">
        <v>79</v>
      </c>
      <c r="H1256" s="1" t="s">
        <v>14793</v>
      </c>
      <c r="I1256" s="1" t="s">
        <v>14794</v>
      </c>
      <c r="J1256" s="17" t="s">
        <v>82</v>
      </c>
      <c r="K1256" s="17" t="s">
        <v>83</v>
      </c>
      <c r="L1256" s="17"/>
      <c r="M1256" s="17"/>
      <c r="N1256" s="52" t="s">
        <v>14795</v>
      </c>
      <c r="O1256" s="17" t="s">
        <v>86</v>
      </c>
      <c r="P1256" s="17" t="s">
        <v>86</v>
      </c>
      <c r="Q1256" s="81" t="s">
        <v>13105</v>
      </c>
      <c r="R1256" s="11">
        <v>30.881589999999999</v>
      </c>
      <c r="S1256" s="11">
        <v>-87.086231999999995</v>
      </c>
      <c r="T1256" s="11" t="s">
        <v>14796</v>
      </c>
      <c r="U1256" s="11" t="s">
        <v>14797</v>
      </c>
      <c r="V1256" s="17" t="s">
        <v>14798</v>
      </c>
      <c r="W1256" s="17" t="s">
        <v>110</v>
      </c>
      <c r="X1256" s="70">
        <v>164</v>
      </c>
      <c r="Y1256" s="70">
        <v>143</v>
      </c>
      <c r="Z1256" s="13">
        <v>31309</v>
      </c>
      <c r="AA1256" s="13">
        <v>31393</v>
      </c>
      <c r="AB1256" s="13">
        <v>31434</v>
      </c>
      <c r="AC1256" s="13">
        <v>31506</v>
      </c>
      <c r="AD1256" s="86">
        <v>15448</v>
      </c>
      <c r="AE1256" s="86">
        <v>15448</v>
      </c>
      <c r="AF1256" s="70" t="s">
        <v>14799</v>
      </c>
      <c r="AG1256" s="17" t="s">
        <v>14800</v>
      </c>
      <c r="AH1256" s="17" t="s">
        <v>86</v>
      </c>
      <c r="AI1256" s="70" t="s">
        <v>94</v>
      </c>
      <c r="AJ1256" s="17" t="s">
        <v>94</v>
      </c>
      <c r="AK1256" s="17" t="s">
        <v>95</v>
      </c>
      <c r="AL1256" s="17" t="s">
        <v>14801</v>
      </c>
      <c r="AM1256" s="17" t="s">
        <v>95</v>
      </c>
      <c r="AN1256" s="17" t="s">
        <v>86</v>
      </c>
      <c r="AO1256" s="17" t="s">
        <v>98</v>
      </c>
      <c r="AP1256" s="17" t="s">
        <v>98</v>
      </c>
      <c r="AQ1256" s="17" t="s">
        <v>98</v>
      </c>
      <c r="AR1256" s="17" t="s">
        <v>94</v>
      </c>
      <c r="AS1256" s="17" t="s">
        <v>14802</v>
      </c>
      <c r="AT1256" s="17">
        <v>238</v>
      </c>
      <c r="AU1256" s="30" t="s">
        <v>14803</v>
      </c>
      <c r="AV1256" s="14">
        <v>15871</v>
      </c>
      <c r="AW1256" s="74"/>
      <c r="AX1256" s="1"/>
      <c r="AY1256" s="17" t="s">
        <v>101</v>
      </c>
    </row>
    <row r="1257" spans="1:51" ht="15" customHeight="1" x14ac:dyDescent="0.25">
      <c r="A1257" s="5">
        <v>1196</v>
      </c>
      <c r="B1257" s="9">
        <v>1196</v>
      </c>
      <c r="C1257" s="9" t="s">
        <v>14804</v>
      </c>
      <c r="D1257" s="57" t="str">
        <f>HYPERLINK("http://prodenv.dep.state.fl.us/DepNexus/public/electronic-documents/OG_1196/facility!search","OG_1196_Docs")</f>
        <v>OG_1196_Docs</v>
      </c>
      <c r="E1257" s="57" t="str">
        <f>HYPERLINK("https://ca.dep.state.fl.us/mapdirect/?focus=oilandgas&amp;zoom=query&amp;querytype=oilandgas&amp;queryvalues=OG_1196","OG_1196_Map")</f>
        <v>OG_1196_Map</v>
      </c>
      <c r="F1257" s="1" t="s">
        <v>265</v>
      </c>
      <c r="G1257" s="1" t="s">
        <v>79</v>
      </c>
      <c r="H1257" s="1" t="s">
        <v>14616</v>
      </c>
      <c r="I1257" s="1" t="s">
        <v>11101</v>
      </c>
      <c r="J1257" s="17" t="s">
        <v>207</v>
      </c>
      <c r="K1257" s="17" t="s">
        <v>208</v>
      </c>
      <c r="L1257" s="17"/>
      <c r="M1257" s="17" t="s">
        <v>207</v>
      </c>
      <c r="N1257" s="52" t="s">
        <v>207</v>
      </c>
      <c r="O1257" s="17" t="s">
        <v>270</v>
      </c>
      <c r="P1257" s="17" t="s">
        <v>86</v>
      </c>
      <c r="Q1257" s="81" t="s">
        <v>14805</v>
      </c>
      <c r="R1257" s="11">
        <v>26.125719</v>
      </c>
      <c r="S1257" s="11">
        <v>-81.098855999999998</v>
      </c>
      <c r="T1257" s="11" t="s">
        <v>14806</v>
      </c>
      <c r="U1257" s="11" t="s">
        <v>14807</v>
      </c>
      <c r="V1257" s="17" t="s">
        <v>14808</v>
      </c>
      <c r="W1257" s="17" t="s">
        <v>14809</v>
      </c>
      <c r="X1257" s="70"/>
      <c r="Y1257" s="70"/>
      <c r="Z1257" s="13">
        <v>31749</v>
      </c>
      <c r="AA1257" s="13"/>
      <c r="AB1257" s="13"/>
      <c r="AC1257" s="13"/>
      <c r="AD1257" s="86"/>
      <c r="AE1257" s="86"/>
      <c r="AF1257" s="70" t="s">
        <v>207</v>
      </c>
      <c r="AG1257" s="14" t="s">
        <v>207</v>
      </c>
      <c r="AH1257" s="14" t="s">
        <v>207</v>
      </c>
      <c r="AI1257" s="70" t="s">
        <v>207</v>
      </c>
      <c r="AJ1257" s="14" t="s">
        <v>207</v>
      </c>
      <c r="AK1257" s="14" t="s">
        <v>207</v>
      </c>
      <c r="AL1257" s="14" t="s">
        <v>207</v>
      </c>
      <c r="AM1257" s="14" t="s">
        <v>207</v>
      </c>
      <c r="AN1257" s="14" t="s">
        <v>207</v>
      </c>
      <c r="AO1257" s="14" t="s">
        <v>207</v>
      </c>
      <c r="AP1257" s="14" t="s">
        <v>207</v>
      </c>
      <c r="AQ1257" s="14" t="s">
        <v>207</v>
      </c>
      <c r="AR1257" s="14" t="s">
        <v>207</v>
      </c>
      <c r="AS1257" s="14" t="s">
        <v>207</v>
      </c>
      <c r="AT1257" s="17" t="s">
        <v>94</v>
      </c>
      <c r="AU1257" s="30" t="s">
        <v>1843</v>
      </c>
      <c r="AV1257" s="14" t="s">
        <v>207</v>
      </c>
      <c r="AW1257" s="74"/>
      <c r="AX1257" s="1"/>
      <c r="AY1257" s="17" t="s">
        <v>101</v>
      </c>
    </row>
    <row r="1258" spans="1:51" ht="12.75" customHeight="1" x14ac:dyDescent="0.25">
      <c r="A1258" s="5">
        <v>1197</v>
      </c>
      <c r="B1258" s="9">
        <v>1197</v>
      </c>
      <c r="C1258" s="9" t="s">
        <v>14810</v>
      </c>
      <c r="D1258" s="57" t="str">
        <f>HYPERLINK("http://prodenv.dep.state.fl.us/DepNexus/public/electronic-documents/OG_1197/facility!search","OG_1197_Docs")</f>
        <v>OG_1197_Docs</v>
      </c>
      <c r="E1258" s="57" t="str">
        <f>HYPERLINK("https://ca.dep.state.fl.us/mapdirect/?focus=oilandgas&amp;zoom=query&amp;querytype=oilandgas&amp;queryvalues=OG_1197","OG_1197_Map")</f>
        <v>OG_1197_Map</v>
      </c>
      <c r="F1258" s="1" t="s">
        <v>1797</v>
      </c>
      <c r="G1258" s="1" t="s">
        <v>79</v>
      </c>
      <c r="H1258" s="1" t="s">
        <v>5605</v>
      </c>
      <c r="I1258" s="1" t="s">
        <v>14811</v>
      </c>
      <c r="J1258" s="17" t="s">
        <v>207</v>
      </c>
      <c r="K1258" s="17" t="s">
        <v>208</v>
      </c>
      <c r="L1258" s="17"/>
      <c r="M1258" s="17" t="s">
        <v>207</v>
      </c>
      <c r="N1258" s="52" t="s">
        <v>207</v>
      </c>
      <c r="O1258" s="17" t="s">
        <v>86</v>
      </c>
      <c r="P1258" s="17" t="s">
        <v>86</v>
      </c>
      <c r="Q1258" s="81" t="s">
        <v>14812</v>
      </c>
      <c r="R1258" s="11">
        <v>30.832308000000001</v>
      </c>
      <c r="S1258" s="11">
        <v>-87.057571999999993</v>
      </c>
      <c r="T1258" s="11" t="s">
        <v>14813</v>
      </c>
      <c r="U1258" s="11" t="s">
        <v>14814</v>
      </c>
      <c r="V1258" s="17" t="s">
        <v>14815</v>
      </c>
      <c r="W1258" s="17" t="s">
        <v>110</v>
      </c>
      <c r="X1258" s="70"/>
      <c r="Y1258" s="70"/>
      <c r="Z1258" s="13">
        <v>31420</v>
      </c>
      <c r="AA1258" s="13"/>
      <c r="AB1258" s="13"/>
      <c r="AC1258" s="13"/>
      <c r="AD1258" s="86"/>
      <c r="AE1258" s="86"/>
      <c r="AF1258" s="70" t="s">
        <v>207</v>
      </c>
      <c r="AG1258" s="14" t="s">
        <v>207</v>
      </c>
      <c r="AH1258" s="14" t="s">
        <v>207</v>
      </c>
      <c r="AI1258" s="70" t="s">
        <v>207</v>
      </c>
      <c r="AJ1258" s="14" t="s">
        <v>207</v>
      </c>
      <c r="AK1258" s="14" t="s">
        <v>207</v>
      </c>
      <c r="AL1258" s="14" t="s">
        <v>207</v>
      </c>
      <c r="AM1258" s="14" t="s">
        <v>207</v>
      </c>
      <c r="AN1258" s="14" t="s">
        <v>207</v>
      </c>
      <c r="AO1258" s="14" t="s">
        <v>207</v>
      </c>
      <c r="AP1258" s="14" t="s">
        <v>207</v>
      </c>
      <c r="AQ1258" s="14" t="s">
        <v>207</v>
      </c>
      <c r="AR1258" s="14" t="s">
        <v>207</v>
      </c>
      <c r="AS1258" s="14" t="s">
        <v>207</v>
      </c>
      <c r="AT1258" s="17" t="s">
        <v>94</v>
      </c>
      <c r="AU1258" s="30" t="s">
        <v>1843</v>
      </c>
      <c r="AV1258" s="14" t="s">
        <v>207</v>
      </c>
      <c r="AW1258" s="74"/>
      <c r="AX1258" s="1"/>
      <c r="AY1258" s="17" t="s">
        <v>101</v>
      </c>
    </row>
    <row r="1259" spans="1:51" ht="12.75" customHeight="1" x14ac:dyDescent="0.25">
      <c r="A1259" s="5">
        <v>1198</v>
      </c>
      <c r="B1259" s="9">
        <v>1198</v>
      </c>
      <c r="C1259" s="9" t="s">
        <v>14816</v>
      </c>
      <c r="D1259" s="57" t="str">
        <f>HYPERLINK("http://prodenv.dep.state.fl.us/DepNexus/public/electronic-documents/OG_1198/facility!search","OG_1198_Docs")</f>
        <v>OG_1198_Docs</v>
      </c>
      <c r="E1259" s="57" t="str">
        <f>HYPERLINK("https://ca.dep.state.fl.us/mapdirect/?focus=oilandgas&amp;zoom=query&amp;querytype=oilandgas&amp;queryvalues=OG_1198","OG_1198_Map")</f>
        <v>OG_1198_Map</v>
      </c>
      <c r="F1259" s="1" t="s">
        <v>1682</v>
      </c>
      <c r="G1259" s="1" t="s">
        <v>79</v>
      </c>
      <c r="H1259" s="1" t="s">
        <v>14817</v>
      </c>
      <c r="I1259" s="1" t="s">
        <v>14818</v>
      </c>
      <c r="J1259" s="17" t="s">
        <v>207</v>
      </c>
      <c r="K1259" s="17" t="s">
        <v>208</v>
      </c>
      <c r="L1259" s="17"/>
      <c r="M1259" s="17" t="s">
        <v>207</v>
      </c>
      <c r="N1259" s="52" t="s">
        <v>207</v>
      </c>
      <c r="O1259" s="17" t="s">
        <v>86</v>
      </c>
      <c r="P1259" s="17" t="s">
        <v>86</v>
      </c>
      <c r="Q1259" s="81" t="s">
        <v>14819</v>
      </c>
      <c r="R1259" s="11">
        <v>30.994215000000001</v>
      </c>
      <c r="S1259" s="11">
        <v>-87.583055000000002</v>
      </c>
      <c r="T1259" s="11" t="s">
        <v>14820</v>
      </c>
      <c r="U1259" s="11" t="s">
        <v>14821</v>
      </c>
      <c r="V1259" s="17" t="s">
        <v>14822</v>
      </c>
      <c r="W1259" s="17" t="s">
        <v>110</v>
      </c>
      <c r="X1259" s="70"/>
      <c r="Y1259" s="70"/>
      <c r="Z1259" s="13">
        <v>31420</v>
      </c>
      <c r="AA1259" s="13"/>
      <c r="AB1259" s="13"/>
      <c r="AC1259" s="13"/>
      <c r="AD1259" s="86"/>
      <c r="AE1259" s="86"/>
      <c r="AF1259" s="70" t="s">
        <v>207</v>
      </c>
      <c r="AG1259" s="14" t="s">
        <v>207</v>
      </c>
      <c r="AH1259" s="14" t="s">
        <v>207</v>
      </c>
      <c r="AI1259" s="70" t="s">
        <v>207</v>
      </c>
      <c r="AJ1259" s="14" t="s">
        <v>207</v>
      </c>
      <c r="AK1259" s="14" t="s">
        <v>207</v>
      </c>
      <c r="AL1259" s="14" t="s">
        <v>207</v>
      </c>
      <c r="AM1259" s="14" t="s">
        <v>207</v>
      </c>
      <c r="AN1259" s="14" t="s">
        <v>207</v>
      </c>
      <c r="AO1259" s="14" t="s">
        <v>207</v>
      </c>
      <c r="AP1259" s="14" t="s">
        <v>207</v>
      </c>
      <c r="AQ1259" s="14" t="s">
        <v>207</v>
      </c>
      <c r="AR1259" s="14" t="s">
        <v>207</v>
      </c>
      <c r="AS1259" s="14" t="s">
        <v>207</v>
      </c>
      <c r="AT1259" s="17" t="s">
        <v>94</v>
      </c>
      <c r="AU1259" s="30" t="s">
        <v>1843</v>
      </c>
      <c r="AV1259" s="14" t="s">
        <v>207</v>
      </c>
      <c r="AW1259" s="74"/>
      <c r="AX1259" s="1"/>
      <c r="AY1259" s="17" t="s">
        <v>101</v>
      </c>
    </row>
    <row r="1260" spans="1:51" ht="12.75" customHeight="1" x14ac:dyDescent="0.25">
      <c r="A1260" s="5">
        <v>1199</v>
      </c>
      <c r="B1260" s="9">
        <v>1199</v>
      </c>
      <c r="C1260" s="9" t="s">
        <v>14823</v>
      </c>
      <c r="D1260" s="57" t="str">
        <f>HYPERLINK("http://prodenv.dep.state.fl.us/DepNexus/public/electronic-documents/OG_1199/facility!search","OG_1199_Docs")</f>
        <v>OG_1199_Docs</v>
      </c>
      <c r="E1260" s="57" t="str">
        <f>HYPERLINK("https://ca.dep.state.fl.us/mapdirect/?focus=oilandgas&amp;zoom=query&amp;querytype=oilandgas&amp;queryvalues=OG_1199","OG_1199_Map")</f>
        <v>OG_1199_Map</v>
      </c>
      <c r="F1260" s="1" t="s">
        <v>265</v>
      </c>
      <c r="G1260" s="1" t="s">
        <v>14480</v>
      </c>
      <c r="H1260" s="1" t="s">
        <v>14824</v>
      </c>
      <c r="I1260" s="1" t="s">
        <v>14825</v>
      </c>
      <c r="J1260" s="17" t="s">
        <v>13881</v>
      </c>
      <c r="K1260" s="17" t="s">
        <v>412</v>
      </c>
      <c r="L1260" s="17"/>
      <c r="M1260" s="17" t="s">
        <v>101</v>
      </c>
      <c r="N1260" s="52" t="s">
        <v>14826</v>
      </c>
      <c r="O1260" s="17" t="s">
        <v>86</v>
      </c>
      <c r="P1260" s="17" t="s">
        <v>86</v>
      </c>
      <c r="Q1260" s="81" t="s">
        <v>14827</v>
      </c>
      <c r="R1260" s="11">
        <v>26.434829000000001</v>
      </c>
      <c r="S1260" s="11">
        <v>-81.529246999999998</v>
      </c>
      <c r="T1260" s="11" t="s">
        <v>14828</v>
      </c>
      <c r="U1260" s="11" t="s">
        <v>14829</v>
      </c>
      <c r="V1260" s="17" t="s">
        <v>14830</v>
      </c>
      <c r="W1260" s="17" t="s">
        <v>14831</v>
      </c>
      <c r="X1260" s="70">
        <v>44</v>
      </c>
      <c r="Y1260" s="70">
        <v>25.7</v>
      </c>
      <c r="Z1260" s="13">
        <v>31453</v>
      </c>
      <c r="AA1260" s="13">
        <v>31492</v>
      </c>
      <c r="AB1260" s="13">
        <v>31572</v>
      </c>
      <c r="AC1260" s="13"/>
      <c r="AD1260" s="86">
        <v>11555</v>
      </c>
      <c r="AE1260" s="86">
        <v>11721</v>
      </c>
      <c r="AF1260" s="70" t="s">
        <v>14832</v>
      </c>
      <c r="AG1260" s="17" t="s">
        <v>14833</v>
      </c>
      <c r="AH1260" s="17" t="s">
        <v>14834</v>
      </c>
      <c r="AI1260" s="70" t="s">
        <v>14835</v>
      </c>
      <c r="AJ1260" s="17" t="s">
        <v>14836</v>
      </c>
      <c r="AK1260" s="17" t="s">
        <v>95</v>
      </c>
      <c r="AL1260" s="17" t="s">
        <v>14837</v>
      </c>
      <c r="AM1260" s="17" t="s">
        <v>95</v>
      </c>
      <c r="AN1260" s="17" t="s">
        <v>86</v>
      </c>
      <c r="AO1260" s="17" t="s">
        <v>14838</v>
      </c>
      <c r="AP1260" s="17" t="s">
        <v>6135</v>
      </c>
      <c r="AQ1260" s="17" t="s">
        <v>10995</v>
      </c>
      <c r="AR1260" s="17" t="s">
        <v>14839</v>
      </c>
      <c r="AS1260" s="17"/>
      <c r="AT1260" s="17">
        <v>190</v>
      </c>
      <c r="AU1260" s="30" t="s">
        <v>14840</v>
      </c>
      <c r="AV1260" s="14">
        <v>15913</v>
      </c>
      <c r="AW1260" s="74"/>
      <c r="AX1260" s="1"/>
      <c r="AY1260" s="17" t="s">
        <v>101</v>
      </c>
    </row>
    <row r="1261" spans="1:51" ht="12.75" customHeight="1" x14ac:dyDescent="0.25">
      <c r="A1261" s="5">
        <v>1199.0999999999999</v>
      </c>
      <c r="B1261" s="9" t="s">
        <v>14841</v>
      </c>
      <c r="C1261" s="9" t="s">
        <v>14823</v>
      </c>
      <c r="D1261" s="57" t="str">
        <f>HYPERLINK("http://prodenv.dep.state.fl.us/DepNexus/public/electronic-documents/OG_1199/facility!search","OG_1199_Docs")</f>
        <v>OG_1199_Docs</v>
      </c>
      <c r="E1261" s="57" t="str">
        <f>HYPERLINK("https://ca.dep.state.fl.us/mapdirect/?focus=oilandgas&amp;zoom=query&amp;querytype=oilandgas&amp;queryvalues=OG_1199","OG_1199_Map")</f>
        <v>OG_1199_Map</v>
      </c>
      <c r="F1261" s="1" t="s">
        <v>265</v>
      </c>
      <c r="G1261" s="1" t="s">
        <v>14480</v>
      </c>
      <c r="H1261" s="1" t="s">
        <v>14824</v>
      </c>
      <c r="I1261" s="1" t="s">
        <v>14842</v>
      </c>
      <c r="J1261" s="17" t="s">
        <v>268</v>
      </c>
      <c r="K1261" s="17" t="s">
        <v>412</v>
      </c>
      <c r="L1261" s="17"/>
      <c r="M1261" s="17"/>
      <c r="N1261" s="52"/>
      <c r="O1261" s="17" t="s">
        <v>86</v>
      </c>
      <c r="P1261" s="17" t="s">
        <v>86</v>
      </c>
      <c r="Q1261" s="81" t="s">
        <v>14827</v>
      </c>
      <c r="R1261" s="11">
        <v>26.434829000000001</v>
      </c>
      <c r="S1261" s="11">
        <v>-81.529246999999998</v>
      </c>
      <c r="T1261" s="11" t="s">
        <v>14828</v>
      </c>
      <c r="U1261" s="11" t="s">
        <v>14829</v>
      </c>
      <c r="V1261" s="17" t="s">
        <v>14830</v>
      </c>
      <c r="W1261" s="17" t="s">
        <v>14843</v>
      </c>
      <c r="X1261" s="70"/>
      <c r="Y1261" s="70">
        <v>25.7</v>
      </c>
      <c r="Z1261" s="13">
        <v>39212</v>
      </c>
      <c r="AA1261" s="13">
        <v>39214</v>
      </c>
      <c r="AB1261" s="13">
        <v>39237</v>
      </c>
      <c r="AC1261" s="13">
        <v>39956</v>
      </c>
      <c r="AD1261" s="86">
        <v>11576</v>
      </c>
      <c r="AE1261" s="86">
        <v>11807</v>
      </c>
      <c r="AF1261" s="70" t="s">
        <v>14832</v>
      </c>
      <c r="AG1261" s="17" t="s">
        <v>14833</v>
      </c>
      <c r="AH1261" s="17" t="s">
        <v>14834</v>
      </c>
      <c r="AI1261" s="70" t="s">
        <v>14835</v>
      </c>
      <c r="AJ1261" s="17" t="s">
        <v>14844</v>
      </c>
      <c r="AK1261" s="17"/>
      <c r="AL1261" s="17"/>
      <c r="AM1261" s="17"/>
      <c r="AN1261" s="17" t="s">
        <v>86</v>
      </c>
      <c r="AO1261" s="17" t="s">
        <v>7931</v>
      </c>
      <c r="AP1261" s="17" t="s">
        <v>7932</v>
      </c>
      <c r="AQ1261" s="17" t="s">
        <v>3768</v>
      </c>
      <c r="AR1261" s="17" t="s">
        <v>14845</v>
      </c>
      <c r="AS1261" s="17" t="s">
        <v>14846</v>
      </c>
      <c r="AT1261" s="17"/>
      <c r="AU1261" s="30" t="s">
        <v>14847</v>
      </c>
      <c r="AV1261" s="14"/>
      <c r="AW1261" s="74"/>
      <c r="AX1261" s="1"/>
      <c r="AY1261" s="17" t="s">
        <v>101</v>
      </c>
    </row>
    <row r="1262" spans="1:51" ht="15" customHeight="1" x14ac:dyDescent="0.25">
      <c r="A1262" s="5">
        <v>1199.2</v>
      </c>
      <c r="B1262" s="9" t="s">
        <v>14848</v>
      </c>
      <c r="C1262" s="9" t="s">
        <v>14823</v>
      </c>
      <c r="D1262" s="57" t="str">
        <f>HYPERLINK("http://prodenv.dep.state.fl.us/DepNexus/public/electronic-documents/OG_1199/facility!search","OG_1199_Docs")</f>
        <v>OG_1199_Docs</v>
      </c>
      <c r="E1262" s="57" t="str">
        <f>HYPERLINK("https://ca.dep.state.fl.us/mapdirect/?focus=oilandgas&amp;zoom=query&amp;querytype=oilandgas&amp;queryvalues=OG_1199","OG_1199_Map")</f>
        <v>OG_1199_Map</v>
      </c>
      <c r="F1262" s="1" t="s">
        <v>265</v>
      </c>
      <c r="G1262" s="1" t="s">
        <v>14480</v>
      </c>
      <c r="H1262" s="1" t="s">
        <v>14824</v>
      </c>
      <c r="I1262" s="1" t="s">
        <v>14849</v>
      </c>
      <c r="J1262" s="17" t="s">
        <v>268</v>
      </c>
      <c r="K1262" s="17" t="s">
        <v>412</v>
      </c>
      <c r="L1262" s="17"/>
      <c r="M1262" s="17"/>
      <c r="N1262" s="52" t="s">
        <v>14850</v>
      </c>
      <c r="O1262" s="17" t="s">
        <v>86</v>
      </c>
      <c r="P1262" s="17" t="s">
        <v>86</v>
      </c>
      <c r="Q1262" s="81" t="s">
        <v>14827</v>
      </c>
      <c r="R1262" s="11">
        <v>26.434829000000001</v>
      </c>
      <c r="S1262" s="11">
        <v>-81.529246999999998</v>
      </c>
      <c r="T1262" s="11" t="s">
        <v>14828</v>
      </c>
      <c r="U1262" s="11" t="s">
        <v>14829</v>
      </c>
      <c r="V1262" s="17" t="s">
        <v>14830</v>
      </c>
      <c r="W1262" s="17" t="s">
        <v>14851</v>
      </c>
      <c r="X1262" s="70"/>
      <c r="Y1262" s="70">
        <v>25.7</v>
      </c>
      <c r="Z1262" s="13">
        <v>39960</v>
      </c>
      <c r="AA1262" s="13">
        <v>39967</v>
      </c>
      <c r="AB1262" s="13">
        <v>39970</v>
      </c>
      <c r="AC1262" s="13">
        <v>39983</v>
      </c>
      <c r="AD1262" s="86">
        <v>11582</v>
      </c>
      <c r="AE1262" s="86">
        <v>12831</v>
      </c>
      <c r="AF1262" s="70" t="s">
        <v>14832</v>
      </c>
      <c r="AG1262" s="17" t="s">
        <v>14833</v>
      </c>
      <c r="AH1262" s="17" t="s">
        <v>14834</v>
      </c>
      <c r="AI1262" s="70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30" t="s">
        <v>14852</v>
      </c>
      <c r="AV1262" s="14"/>
      <c r="AW1262" s="74"/>
      <c r="AX1262" s="1"/>
      <c r="AY1262" s="17" t="s">
        <v>101</v>
      </c>
    </row>
    <row r="1263" spans="1:51" ht="15" customHeight="1" x14ac:dyDescent="0.25">
      <c r="A1263" s="5">
        <v>1199.3</v>
      </c>
      <c r="B1263" s="9" t="s">
        <v>14853</v>
      </c>
      <c r="C1263" s="9" t="s">
        <v>14823</v>
      </c>
      <c r="D1263" s="57" t="str">
        <f>HYPERLINK("http://prodenv.dep.state.fl.us/DepNexus/public/electronic-documents/OG_1199/facility!search","OG_1199_Docs")</f>
        <v>OG_1199_Docs</v>
      </c>
      <c r="E1263" s="57" t="str">
        <f>HYPERLINK("https://ca.dep.state.fl.us/mapdirect/?focus=oilandgas&amp;zoom=query&amp;querytype=oilandgas&amp;queryvalues=OG_1199","OG_1199_Map")</f>
        <v>OG_1199_Map</v>
      </c>
      <c r="F1263" s="1" t="s">
        <v>265</v>
      </c>
      <c r="G1263" s="1" t="s">
        <v>14480</v>
      </c>
      <c r="H1263" s="1" t="s">
        <v>14824</v>
      </c>
      <c r="I1263" s="1" t="s">
        <v>14854</v>
      </c>
      <c r="J1263" s="17" t="s">
        <v>268</v>
      </c>
      <c r="K1263" s="17" t="s">
        <v>412</v>
      </c>
      <c r="L1263" s="17"/>
      <c r="M1263" s="17"/>
      <c r="N1263" s="52"/>
      <c r="O1263" s="17" t="s">
        <v>86</v>
      </c>
      <c r="P1263" s="17" t="s">
        <v>86</v>
      </c>
      <c r="Q1263" s="81" t="s">
        <v>14827</v>
      </c>
      <c r="R1263" s="11">
        <v>26.434829000000001</v>
      </c>
      <c r="S1263" s="11">
        <v>-81.529246999999998</v>
      </c>
      <c r="T1263" s="11" t="s">
        <v>14828</v>
      </c>
      <c r="U1263" s="11" t="s">
        <v>14829</v>
      </c>
      <c r="V1263" s="17" t="s">
        <v>14830</v>
      </c>
      <c r="W1263" s="17" t="s">
        <v>14855</v>
      </c>
      <c r="X1263" s="70"/>
      <c r="Y1263" s="70">
        <v>25.7</v>
      </c>
      <c r="Z1263" s="13"/>
      <c r="AA1263" s="13">
        <v>39984</v>
      </c>
      <c r="AB1263" s="13">
        <v>39990</v>
      </c>
      <c r="AC1263" s="13">
        <v>40260</v>
      </c>
      <c r="AD1263" s="86">
        <v>11593</v>
      </c>
      <c r="AE1263" s="86">
        <v>12062</v>
      </c>
      <c r="AF1263" s="70" t="s">
        <v>14832</v>
      </c>
      <c r="AG1263" s="17" t="s">
        <v>14833</v>
      </c>
      <c r="AH1263" s="17" t="s">
        <v>14834</v>
      </c>
      <c r="AI1263" s="70"/>
      <c r="AJ1263" s="17" t="s">
        <v>14856</v>
      </c>
      <c r="AK1263" s="17"/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30" t="s">
        <v>14857</v>
      </c>
      <c r="AV1263" s="14"/>
      <c r="AW1263" s="74"/>
      <c r="AX1263" s="1"/>
      <c r="AY1263" s="17" t="s">
        <v>101</v>
      </c>
    </row>
    <row r="1264" spans="1:51" ht="15" customHeight="1" x14ac:dyDescent="0.25">
      <c r="A1264" s="5">
        <v>1199.4000000000001</v>
      </c>
      <c r="B1264" s="9" t="s">
        <v>14858</v>
      </c>
      <c r="C1264" s="9" t="s">
        <v>14823</v>
      </c>
      <c r="D1264" s="57" t="str">
        <f>HYPERLINK("http://prodenv.dep.state.fl.us/DepNexus/public/electronic-documents/OG_1199/facility!search","OG_1199_Docs")</f>
        <v>OG_1199_Docs</v>
      </c>
      <c r="E1264" s="57" t="str">
        <f>HYPERLINK("https://ca.dep.state.fl.us/mapdirect/?focus=oilandgas&amp;zoom=query&amp;querytype=oilandgas&amp;queryvalues=OG_1199","OG_1199_Map")</f>
        <v>OG_1199_Map</v>
      </c>
      <c r="F1264" s="1" t="s">
        <v>265</v>
      </c>
      <c r="G1264" s="1" t="s">
        <v>14480</v>
      </c>
      <c r="H1264" s="1" t="s">
        <v>11252</v>
      </c>
      <c r="I1264" s="1" t="s">
        <v>14859</v>
      </c>
      <c r="J1264" s="17" t="s">
        <v>3646</v>
      </c>
      <c r="K1264" s="17" t="s">
        <v>412</v>
      </c>
      <c r="L1264" s="17"/>
      <c r="M1264" s="17"/>
      <c r="N1264" s="52"/>
      <c r="O1264" s="17" t="s">
        <v>86</v>
      </c>
      <c r="P1264" s="17" t="s">
        <v>86</v>
      </c>
      <c r="Q1264" s="81" t="s">
        <v>14827</v>
      </c>
      <c r="R1264" s="11">
        <v>26.434829000000001</v>
      </c>
      <c r="S1264" s="11">
        <v>-81.529246999999998</v>
      </c>
      <c r="T1264" s="11" t="s">
        <v>14828</v>
      </c>
      <c r="U1264" s="11" t="s">
        <v>14829</v>
      </c>
      <c r="V1264" s="17" t="s">
        <v>14830</v>
      </c>
      <c r="W1264" s="17" t="s">
        <v>14855</v>
      </c>
      <c r="X1264" s="70">
        <v>44</v>
      </c>
      <c r="Y1264" s="70">
        <v>25.7</v>
      </c>
      <c r="Z1264" s="13"/>
      <c r="AA1264" s="13">
        <v>40263</v>
      </c>
      <c r="AB1264" s="13">
        <v>40270</v>
      </c>
      <c r="AC1264" s="13"/>
      <c r="AD1264" s="86"/>
      <c r="AE1264" s="86">
        <v>12030</v>
      </c>
      <c r="AF1264" s="70" t="s">
        <v>14832</v>
      </c>
      <c r="AG1264" s="17" t="s">
        <v>14833</v>
      </c>
      <c r="AH1264" s="17" t="s">
        <v>14834</v>
      </c>
      <c r="AI1264" s="70" t="s">
        <v>14860</v>
      </c>
      <c r="AJ1264" s="17" t="s">
        <v>14861</v>
      </c>
      <c r="AK1264" s="17"/>
      <c r="AL1264" s="17"/>
      <c r="AM1264" s="17"/>
      <c r="AN1264" s="17"/>
      <c r="AO1264" s="17" t="s">
        <v>14862</v>
      </c>
      <c r="AP1264" s="17" t="s">
        <v>14863</v>
      </c>
      <c r="AQ1264" s="17" t="s">
        <v>14864</v>
      </c>
      <c r="AR1264" s="17" t="s">
        <v>14865</v>
      </c>
      <c r="AS1264" s="17"/>
      <c r="AT1264" s="17"/>
      <c r="AU1264" s="30" t="s">
        <v>14866</v>
      </c>
      <c r="AV1264" s="14"/>
      <c r="AW1264" s="74">
        <v>304677</v>
      </c>
      <c r="AX1264" s="1" t="s">
        <v>14867</v>
      </c>
      <c r="AY1264" s="17" t="s">
        <v>101</v>
      </c>
    </row>
    <row r="1265" spans="1:51" ht="15" customHeight="1" x14ac:dyDescent="0.25">
      <c r="A1265" s="5">
        <v>1200</v>
      </c>
      <c r="B1265" s="9">
        <v>1200</v>
      </c>
      <c r="C1265" s="9" t="s">
        <v>14868</v>
      </c>
      <c r="D1265" s="57" t="str">
        <f>HYPERLINK("http://prodenv.dep.state.fl.us/DepNexus/public/electronic-documents/OG_1200/facility!search","OG_1200_Docs")</f>
        <v>OG_1200_Docs</v>
      </c>
      <c r="E1265" s="57" t="str">
        <f>HYPERLINK("https://ca.dep.state.fl.us/mapdirect/?focus=oilandgas&amp;zoom=query&amp;querytype=oilandgas&amp;queryvalues=OG_1200","OG_1200_Map")</f>
        <v>OG_1200_Map</v>
      </c>
      <c r="F1265" s="1" t="s">
        <v>1682</v>
      </c>
      <c r="G1265" s="1" t="s">
        <v>79</v>
      </c>
      <c r="H1265" s="1" t="s">
        <v>14869</v>
      </c>
      <c r="I1265" s="1" t="s">
        <v>14870</v>
      </c>
      <c r="J1265" s="17" t="s">
        <v>207</v>
      </c>
      <c r="K1265" s="17" t="s">
        <v>208</v>
      </c>
      <c r="L1265" s="17"/>
      <c r="M1265" s="17" t="s">
        <v>207</v>
      </c>
      <c r="N1265" s="52" t="s">
        <v>207</v>
      </c>
      <c r="O1265" s="17" t="s">
        <v>86</v>
      </c>
      <c r="P1265" s="17" t="s">
        <v>86</v>
      </c>
      <c r="Q1265" s="81" t="s">
        <v>14871</v>
      </c>
      <c r="R1265" s="11">
        <v>30.956209000000001</v>
      </c>
      <c r="S1265" s="11">
        <v>-87.533029999999997</v>
      </c>
      <c r="T1265" s="11" t="s">
        <v>14872</v>
      </c>
      <c r="U1265" s="11" t="s">
        <v>14873</v>
      </c>
      <c r="V1265" s="17" t="s">
        <v>14874</v>
      </c>
      <c r="W1265" s="17" t="s">
        <v>110</v>
      </c>
      <c r="X1265" s="70"/>
      <c r="Y1265" s="70"/>
      <c r="Z1265" s="13">
        <v>31440</v>
      </c>
      <c r="AA1265" s="13"/>
      <c r="AB1265" s="13"/>
      <c r="AC1265" s="13"/>
      <c r="AD1265" s="86"/>
      <c r="AE1265" s="86"/>
      <c r="AF1265" s="70" t="s">
        <v>207</v>
      </c>
      <c r="AG1265" s="14" t="s">
        <v>207</v>
      </c>
      <c r="AH1265" s="14" t="s">
        <v>207</v>
      </c>
      <c r="AI1265" s="70" t="s">
        <v>207</v>
      </c>
      <c r="AJ1265" s="14" t="s">
        <v>207</v>
      </c>
      <c r="AK1265" s="14" t="s">
        <v>207</v>
      </c>
      <c r="AL1265" s="14" t="s">
        <v>207</v>
      </c>
      <c r="AM1265" s="14" t="s">
        <v>207</v>
      </c>
      <c r="AN1265" s="14" t="s">
        <v>207</v>
      </c>
      <c r="AO1265" s="14" t="s">
        <v>207</v>
      </c>
      <c r="AP1265" s="14" t="s">
        <v>207</v>
      </c>
      <c r="AQ1265" s="14" t="s">
        <v>207</v>
      </c>
      <c r="AR1265" s="14" t="s">
        <v>207</v>
      </c>
      <c r="AS1265" s="14" t="s">
        <v>207</v>
      </c>
      <c r="AT1265" s="14" t="s">
        <v>207</v>
      </c>
      <c r="AU1265" s="30" t="s">
        <v>1843</v>
      </c>
      <c r="AV1265" s="14" t="s">
        <v>207</v>
      </c>
      <c r="AW1265" s="74"/>
      <c r="AX1265" s="1"/>
      <c r="AY1265" s="17" t="s">
        <v>101</v>
      </c>
    </row>
    <row r="1266" spans="1:51" ht="15" customHeight="1" x14ac:dyDescent="0.25">
      <c r="A1266" s="5">
        <v>1201</v>
      </c>
      <c r="B1266" s="9">
        <v>1201</v>
      </c>
      <c r="C1266" s="9" t="s">
        <v>14875</v>
      </c>
      <c r="D1266" s="57" t="str">
        <f>HYPERLINK("http://prodenv.dep.state.fl.us/DepNexus/public/electronic-documents/OG_1201/facility!search","OG_1201_Docs")</f>
        <v>OG_1201_Docs</v>
      </c>
      <c r="E1266" s="57" t="str">
        <f>HYPERLINK("https://ca.dep.state.fl.us/mapdirect/?focus=oilandgas&amp;zoom=query&amp;querytype=oilandgas&amp;queryvalues=OG_1201","OG_1201_Map")</f>
        <v>OG_1201_Map</v>
      </c>
      <c r="F1266" s="1" t="s">
        <v>265</v>
      </c>
      <c r="G1266" s="1" t="s">
        <v>14480</v>
      </c>
      <c r="H1266" s="1" t="s">
        <v>14876</v>
      </c>
      <c r="I1266" s="1" t="s">
        <v>14877</v>
      </c>
      <c r="J1266" s="17" t="s">
        <v>1476</v>
      </c>
      <c r="K1266" s="17" t="s">
        <v>412</v>
      </c>
      <c r="L1266" s="17"/>
      <c r="M1266" s="17" t="s">
        <v>101</v>
      </c>
      <c r="N1266" s="52" t="s">
        <v>14878</v>
      </c>
      <c r="O1266" s="17" t="s">
        <v>86</v>
      </c>
      <c r="P1266" s="17" t="s">
        <v>86</v>
      </c>
      <c r="Q1266" s="81" t="s">
        <v>14879</v>
      </c>
      <c r="R1266" s="11">
        <v>26.441393000000001</v>
      </c>
      <c r="S1266" s="11">
        <v>-81.524516000000006</v>
      </c>
      <c r="T1266" s="11" t="s">
        <v>14880</v>
      </c>
      <c r="U1266" s="11" t="s">
        <v>14881</v>
      </c>
      <c r="V1266" s="17" t="s">
        <v>14882</v>
      </c>
      <c r="W1266" s="17" t="s">
        <v>14883</v>
      </c>
      <c r="X1266" s="70">
        <v>44</v>
      </c>
      <c r="Y1266" s="70">
        <v>22</v>
      </c>
      <c r="Z1266" s="13">
        <v>31453</v>
      </c>
      <c r="AA1266" s="13">
        <v>31815</v>
      </c>
      <c r="AB1266" s="13"/>
      <c r="AC1266" s="13">
        <v>31847</v>
      </c>
      <c r="AD1266" s="86">
        <v>11849</v>
      </c>
      <c r="AE1266" s="86">
        <v>11849</v>
      </c>
      <c r="AF1266" s="70" t="s">
        <v>14884</v>
      </c>
      <c r="AG1266" s="17" t="s">
        <v>14885</v>
      </c>
      <c r="AH1266" s="17" t="s">
        <v>14886</v>
      </c>
      <c r="AI1266" s="70" t="s">
        <v>86</v>
      </c>
      <c r="AJ1266" s="17" t="s">
        <v>94</v>
      </c>
      <c r="AK1266" s="17" t="s">
        <v>95</v>
      </c>
      <c r="AL1266" s="17" t="s">
        <v>14887</v>
      </c>
      <c r="AM1266" s="17" t="s">
        <v>95</v>
      </c>
      <c r="AN1266" s="17" t="s">
        <v>825</v>
      </c>
      <c r="AO1266" s="17" t="s">
        <v>98</v>
      </c>
      <c r="AP1266" s="17" t="s">
        <v>98</v>
      </c>
      <c r="AQ1266" s="17" t="s">
        <v>98</v>
      </c>
      <c r="AR1266" s="17" t="s">
        <v>94</v>
      </c>
      <c r="AS1266" s="17" t="s">
        <v>14888</v>
      </c>
      <c r="AT1266" s="17">
        <v>178</v>
      </c>
      <c r="AU1266" s="30" t="s">
        <v>14889</v>
      </c>
      <c r="AV1266" s="14">
        <v>16005</v>
      </c>
      <c r="AW1266" s="74"/>
      <c r="AX1266" s="1"/>
      <c r="AY1266" s="17" t="s">
        <v>101</v>
      </c>
    </row>
    <row r="1267" spans="1:51" ht="12.75" customHeight="1" x14ac:dyDescent="0.25">
      <c r="A1267" s="5">
        <v>1201.0999999999999</v>
      </c>
      <c r="B1267" s="9" t="s">
        <v>14890</v>
      </c>
      <c r="C1267" s="9" t="s">
        <v>14875</v>
      </c>
      <c r="D1267" s="57" t="str">
        <f>HYPERLINK("http://prodenv.dep.state.fl.us/DepNexus/public/electronic-documents/OG_1201/facility!search","OG_1201_Docs")</f>
        <v>OG_1201_Docs</v>
      </c>
      <c r="E1267" s="57" t="str">
        <f>HYPERLINK("https://ca.dep.state.fl.us/mapdirect/?focus=oilandgas&amp;zoom=query&amp;querytype=oilandgas&amp;queryvalues=OG_1201","OG_1201_Map")</f>
        <v>OG_1201_Map</v>
      </c>
      <c r="F1267" s="1" t="s">
        <v>265</v>
      </c>
      <c r="G1267" s="1" t="s">
        <v>14480</v>
      </c>
      <c r="H1267" s="1" t="s">
        <v>11252</v>
      </c>
      <c r="I1267" s="1" t="s">
        <v>14891</v>
      </c>
      <c r="J1267" s="23" t="s">
        <v>1476</v>
      </c>
      <c r="K1267" s="17" t="s">
        <v>412</v>
      </c>
      <c r="L1267" s="17"/>
      <c r="M1267" s="17" t="s">
        <v>101</v>
      </c>
      <c r="N1267" s="52" t="s">
        <v>14892</v>
      </c>
      <c r="O1267" s="17" t="s">
        <v>86</v>
      </c>
      <c r="P1267" s="17" t="s">
        <v>86</v>
      </c>
      <c r="Q1267" s="81" t="s">
        <v>14879</v>
      </c>
      <c r="R1267" s="11">
        <v>26.441393000000001</v>
      </c>
      <c r="S1267" s="11">
        <v>-81.524516000000006</v>
      </c>
      <c r="T1267" s="11" t="s">
        <v>14880</v>
      </c>
      <c r="U1267" s="11" t="s">
        <v>14881</v>
      </c>
      <c r="V1267" s="17" t="s">
        <v>14882</v>
      </c>
      <c r="W1267" s="17" t="s">
        <v>14893</v>
      </c>
      <c r="X1267" s="70">
        <v>45</v>
      </c>
      <c r="Y1267" s="70">
        <v>22</v>
      </c>
      <c r="Z1267" s="13">
        <v>31868</v>
      </c>
      <c r="AA1267" s="13">
        <v>31851</v>
      </c>
      <c r="AB1267" s="13">
        <v>31888</v>
      </c>
      <c r="AC1267" s="13"/>
      <c r="AD1267" s="86">
        <v>11517</v>
      </c>
      <c r="AE1267" s="86">
        <v>11697</v>
      </c>
      <c r="AF1267" s="70" t="s">
        <v>14884</v>
      </c>
      <c r="AG1267" s="17" t="s">
        <v>14885</v>
      </c>
      <c r="AH1267" s="17" t="s">
        <v>14886</v>
      </c>
      <c r="AI1267" s="70" t="s">
        <v>14894</v>
      </c>
      <c r="AJ1267" s="17" t="s">
        <v>14895</v>
      </c>
      <c r="AK1267" s="17" t="s">
        <v>95</v>
      </c>
      <c r="AL1267" s="17" t="s">
        <v>14896</v>
      </c>
      <c r="AM1267" s="17" t="s">
        <v>95</v>
      </c>
      <c r="AN1267" s="17" t="s">
        <v>825</v>
      </c>
      <c r="AO1267" s="17" t="s">
        <v>14897</v>
      </c>
      <c r="AP1267" s="17" t="s">
        <v>4176</v>
      </c>
      <c r="AQ1267" s="17" t="s">
        <v>10995</v>
      </c>
      <c r="AR1267" s="17" t="s">
        <v>14898</v>
      </c>
      <c r="AS1267" s="17"/>
      <c r="AT1267" s="17">
        <v>182</v>
      </c>
      <c r="AU1267" s="30" t="s">
        <v>14899</v>
      </c>
      <c r="AV1267" s="14">
        <v>16005</v>
      </c>
      <c r="AW1267" s="74">
        <v>304678</v>
      </c>
      <c r="AX1267" s="1"/>
      <c r="AY1267" s="17" t="s">
        <v>101</v>
      </c>
    </row>
    <row r="1268" spans="1:51" ht="12.75" customHeight="1" x14ac:dyDescent="0.25">
      <c r="A1268" s="5">
        <v>1202</v>
      </c>
      <c r="B1268" s="9">
        <v>1202</v>
      </c>
      <c r="C1268" s="9" t="s">
        <v>14900</v>
      </c>
      <c r="D1268" s="57" t="str">
        <f>HYPERLINK("http://prodenv.dep.state.fl.us/DepNexus/public/electronic-documents/OG_1202/facility!search","OG_1202_Docs")</f>
        <v>OG_1202_Docs</v>
      </c>
      <c r="E1268" s="57" t="str">
        <f>HYPERLINK("https://ca.dep.state.fl.us/mapdirect/?focus=oilandgas&amp;zoom=query&amp;querytype=oilandgas&amp;queryvalues=OG_1202","OG_1202_Map")</f>
        <v>OG_1202_Map</v>
      </c>
      <c r="F1268" s="1" t="s">
        <v>265</v>
      </c>
      <c r="G1268" s="1" t="s">
        <v>79</v>
      </c>
      <c r="H1268" s="1" t="s">
        <v>14901</v>
      </c>
      <c r="I1268" s="1" t="s">
        <v>14902</v>
      </c>
      <c r="J1268" s="17" t="s">
        <v>82</v>
      </c>
      <c r="K1268" s="17" t="s">
        <v>83</v>
      </c>
      <c r="L1268" s="17"/>
      <c r="M1268" s="17" t="s">
        <v>101</v>
      </c>
      <c r="N1268" s="52" t="s">
        <v>14903</v>
      </c>
      <c r="O1268" s="17" t="s">
        <v>86</v>
      </c>
      <c r="P1268" s="17" t="s">
        <v>86</v>
      </c>
      <c r="Q1268" s="81" t="s">
        <v>14904</v>
      </c>
      <c r="R1268" s="11">
        <v>26.497402999999998</v>
      </c>
      <c r="S1268" s="11">
        <v>-81.357550000000003</v>
      </c>
      <c r="T1268" s="11" t="s">
        <v>14905</v>
      </c>
      <c r="U1268" s="11" t="s">
        <v>14906</v>
      </c>
      <c r="V1268" s="17" t="s">
        <v>14907</v>
      </c>
      <c r="W1268" s="17" t="s">
        <v>14908</v>
      </c>
      <c r="X1268" s="70">
        <v>53</v>
      </c>
      <c r="Y1268" s="70">
        <v>31</v>
      </c>
      <c r="Z1268" s="13">
        <v>31483</v>
      </c>
      <c r="AA1268" s="13">
        <v>31606</v>
      </c>
      <c r="AB1268" s="13"/>
      <c r="AC1268" s="13">
        <v>31640</v>
      </c>
      <c r="AD1268" s="86">
        <v>11613</v>
      </c>
      <c r="AE1268" s="86">
        <v>11613</v>
      </c>
      <c r="AF1268" s="70" t="s">
        <v>14909</v>
      </c>
      <c r="AG1268" s="17" t="s">
        <v>14910</v>
      </c>
      <c r="AH1268" s="17" t="s">
        <v>14911</v>
      </c>
      <c r="AI1268" s="70" t="s">
        <v>86</v>
      </c>
      <c r="AJ1268" s="17" t="s">
        <v>94</v>
      </c>
      <c r="AK1268" s="17" t="s">
        <v>95</v>
      </c>
      <c r="AL1268" s="17" t="s">
        <v>14912</v>
      </c>
      <c r="AM1268" s="17" t="s">
        <v>95</v>
      </c>
      <c r="AN1268" s="17" t="s">
        <v>825</v>
      </c>
      <c r="AO1268" s="17" t="s">
        <v>98</v>
      </c>
      <c r="AP1268" s="17" t="s">
        <v>98</v>
      </c>
      <c r="AQ1268" s="17" t="s">
        <v>98</v>
      </c>
      <c r="AR1268" s="17" t="s">
        <v>94</v>
      </c>
      <c r="AS1268" s="17" t="s">
        <v>14913</v>
      </c>
      <c r="AT1268" s="17">
        <v>231</v>
      </c>
      <c r="AU1268" s="30" t="s">
        <v>14914</v>
      </c>
      <c r="AV1268" s="14">
        <v>15975</v>
      </c>
      <c r="AW1268" s="74"/>
      <c r="AX1268" s="1"/>
      <c r="AY1268" s="17" t="s">
        <v>101</v>
      </c>
    </row>
    <row r="1269" spans="1:51" ht="15" customHeight="1" x14ac:dyDescent="0.25">
      <c r="A1269" s="5">
        <v>1203</v>
      </c>
      <c r="B1269" s="9">
        <v>1203</v>
      </c>
      <c r="C1269" s="9" t="s">
        <v>14915</v>
      </c>
      <c r="D1269" s="57" t="str">
        <f>HYPERLINK("http://prodenv.dep.state.fl.us/DepNexus/public/electronic-documents/OG_1203/facility!search","OG_1203_Docs")</f>
        <v>OG_1203_Docs</v>
      </c>
      <c r="E1269" s="57" t="str">
        <f>HYPERLINK("https://ca.dep.state.fl.us/mapdirect/?focus=oilandgas&amp;zoom=query&amp;querytype=oilandgas&amp;queryvalues=OG_1203","OG_1203_Map")</f>
        <v>OG_1203_Map</v>
      </c>
      <c r="F1269" s="1" t="s">
        <v>265</v>
      </c>
      <c r="G1269" s="1" t="s">
        <v>79</v>
      </c>
      <c r="H1269" s="1" t="s">
        <v>14916</v>
      </c>
      <c r="I1269" s="1" t="s">
        <v>14917</v>
      </c>
      <c r="J1269" s="17" t="s">
        <v>207</v>
      </c>
      <c r="K1269" s="17" t="s">
        <v>208</v>
      </c>
      <c r="L1269" s="17"/>
      <c r="M1269" s="17" t="s">
        <v>207</v>
      </c>
      <c r="N1269" s="52" t="s">
        <v>207</v>
      </c>
      <c r="O1269" s="17" t="s">
        <v>270</v>
      </c>
      <c r="P1269" s="17" t="s">
        <v>3395</v>
      </c>
      <c r="Q1269" s="81" t="s">
        <v>14918</v>
      </c>
      <c r="R1269" s="11">
        <v>26.230941999999999</v>
      </c>
      <c r="S1269" s="11">
        <v>-81.242852999999997</v>
      </c>
      <c r="T1269" s="11" t="s">
        <v>14919</v>
      </c>
      <c r="U1269" s="11" t="s">
        <v>14920</v>
      </c>
      <c r="V1269" s="17" t="s">
        <v>14921</v>
      </c>
      <c r="W1269" s="17" t="s">
        <v>14922</v>
      </c>
      <c r="X1269" s="70"/>
      <c r="Y1269" s="70"/>
      <c r="Z1269" s="13">
        <v>31524</v>
      </c>
      <c r="AA1269" s="13"/>
      <c r="AB1269" s="13"/>
      <c r="AC1269" s="13"/>
      <c r="AD1269" s="86"/>
      <c r="AE1269" s="86"/>
      <c r="AF1269" s="70" t="s">
        <v>207</v>
      </c>
      <c r="AG1269" s="17" t="s">
        <v>207</v>
      </c>
      <c r="AH1269" s="17" t="s">
        <v>207</v>
      </c>
      <c r="AI1269" s="70" t="s">
        <v>207</v>
      </c>
      <c r="AJ1269" s="17" t="s">
        <v>207</v>
      </c>
      <c r="AK1269" s="17" t="s">
        <v>207</v>
      </c>
      <c r="AL1269" s="17" t="s">
        <v>207</v>
      </c>
      <c r="AM1269" s="17" t="s">
        <v>207</v>
      </c>
      <c r="AN1269" s="17" t="s">
        <v>207</v>
      </c>
      <c r="AO1269" s="17" t="s">
        <v>207</v>
      </c>
      <c r="AP1269" s="17" t="s">
        <v>207</v>
      </c>
      <c r="AQ1269" s="17" t="s">
        <v>207</v>
      </c>
      <c r="AR1269" s="17" t="s">
        <v>207</v>
      </c>
      <c r="AS1269" s="17" t="s">
        <v>207</v>
      </c>
      <c r="AT1269" s="17" t="s">
        <v>207</v>
      </c>
      <c r="AU1269" s="30" t="s">
        <v>1843</v>
      </c>
      <c r="AV1269" s="14" t="s">
        <v>207</v>
      </c>
      <c r="AW1269" s="74"/>
      <c r="AX1269" s="1"/>
      <c r="AY1269" s="17" t="s">
        <v>101</v>
      </c>
    </row>
    <row r="1270" spans="1:51" ht="12.75" customHeight="1" x14ac:dyDescent="0.25">
      <c r="A1270" s="5">
        <v>1204</v>
      </c>
      <c r="B1270" s="9">
        <v>1204</v>
      </c>
      <c r="C1270" s="9" t="s">
        <v>14923</v>
      </c>
      <c r="D1270" s="57" t="str">
        <f>HYPERLINK("http://prodenv.dep.state.fl.us/DepNexus/public/electronic-documents/OG_1204/facility!search","OG_1204_Docs")</f>
        <v>OG_1204_Docs</v>
      </c>
      <c r="E1270" s="57" t="str">
        <f>HYPERLINK("https://ca.dep.state.fl.us/mapdirect/?focus=oilandgas&amp;zoom=query&amp;querytype=oilandgas&amp;queryvalues=OG_1204","OG_1204_Map")</f>
        <v>OG_1204_Map</v>
      </c>
      <c r="F1270" s="1" t="s">
        <v>1682</v>
      </c>
      <c r="G1270" s="1" t="s">
        <v>13949</v>
      </c>
      <c r="H1270" s="1" t="s">
        <v>13487</v>
      </c>
      <c r="I1270" s="1" t="s">
        <v>14924</v>
      </c>
      <c r="J1270" s="17" t="s">
        <v>82</v>
      </c>
      <c r="K1270" s="17" t="s">
        <v>83</v>
      </c>
      <c r="L1270" s="17"/>
      <c r="M1270" s="17"/>
      <c r="N1270" s="52" t="s">
        <v>14925</v>
      </c>
      <c r="O1270" s="17" t="s">
        <v>86</v>
      </c>
      <c r="P1270" s="17" t="s">
        <v>86</v>
      </c>
      <c r="Q1270" s="81" t="s">
        <v>14329</v>
      </c>
      <c r="R1270" s="11">
        <v>30.916408000000001</v>
      </c>
      <c r="S1270" s="11">
        <v>-87.350558000000007</v>
      </c>
      <c r="T1270" s="11" t="s">
        <v>14926</v>
      </c>
      <c r="U1270" s="11" t="s">
        <v>14927</v>
      </c>
      <c r="V1270" s="17" t="s">
        <v>14928</v>
      </c>
      <c r="W1270" s="17" t="s">
        <v>14929</v>
      </c>
      <c r="X1270" s="70">
        <v>182</v>
      </c>
      <c r="Y1270" s="70">
        <v>162</v>
      </c>
      <c r="Z1270" s="13">
        <v>31520</v>
      </c>
      <c r="AA1270" s="13">
        <v>31592</v>
      </c>
      <c r="AB1270" s="13"/>
      <c r="AC1270" s="13">
        <v>31632</v>
      </c>
      <c r="AD1270" s="86">
        <v>16500</v>
      </c>
      <c r="AE1270" s="86">
        <v>16500</v>
      </c>
      <c r="AF1270" s="70" t="s">
        <v>14930</v>
      </c>
      <c r="AG1270" s="17" t="s">
        <v>14931</v>
      </c>
      <c r="AH1270" s="17" t="s">
        <v>86</v>
      </c>
      <c r="AI1270" s="70" t="s">
        <v>94</v>
      </c>
      <c r="AJ1270" s="17" t="s">
        <v>94</v>
      </c>
      <c r="AK1270" s="17" t="s">
        <v>95</v>
      </c>
      <c r="AL1270" s="17" t="s">
        <v>14932</v>
      </c>
      <c r="AM1270" s="17" t="s">
        <v>95</v>
      </c>
      <c r="AN1270" s="17" t="s">
        <v>86</v>
      </c>
      <c r="AO1270" s="17" t="s">
        <v>98</v>
      </c>
      <c r="AP1270" s="17" t="s">
        <v>98</v>
      </c>
      <c r="AQ1270" s="17" t="s">
        <v>98</v>
      </c>
      <c r="AR1270" s="17" t="s">
        <v>94</v>
      </c>
      <c r="AS1270" s="17" t="s">
        <v>14933</v>
      </c>
      <c r="AT1270" s="17">
        <v>268</v>
      </c>
      <c r="AU1270" s="30" t="s">
        <v>14934</v>
      </c>
      <c r="AV1270" s="14">
        <v>15962</v>
      </c>
      <c r="AW1270" s="74"/>
      <c r="AX1270" s="1"/>
      <c r="AY1270" s="17" t="s">
        <v>101</v>
      </c>
    </row>
    <row r="1271" spans="1:51" ht="12.75" customHeight="1" x14ac:dyDescent="0.25">
      <c r="A1271" s="5">
        <v>1205</v>
      </c>
      <c r="B1271" s="9">
        <v>1205</v>
      </c>
      <c r="C1271" s="9" t="s">
        <v>14935</v>
      </c>
      <c r="D1271" s="57" t="str">
        <f>HYPERLINK("http://prodenv.dep.state.fl.us/DepNexus/public/electronic-documents/OG_1205/facility!search","OG_1205_Docs")</f>
        <v>OG_1205_Docs</v>
      </c>
      <c r="E1271" s="57" t="str">
        <f>HYPERLINK("https://ca.dep.state.fl.us/mapdirect/?focus=oilandgas&amp;zoom=query&amp;querytype=oilandgas&amp;queryvalues=OG_1205","OG_1205_Map")</f>
        <v>OG_1205_Map</v>
      </c>
      <c r="F1271" s="1" t="s">
        <v>1682</v>
      </c>
      <c r="G1271" s="1" t="s">
        <v>13949</v>
      </c>
      <c r="H1271" s="1" t="s">
        <v>14936</v>
      </c>
      <c r="I1271" s="1" t="s">
        <v>14937</v>
      </c>
      <c r="J1271" s="17" t="s">
        <v>207</v>
      </c>
      <c r="K1271" s="17" t="s">
        <v>208</v>
      </c>
      <c r="L1271" s="17"/>
      <c r="M1271" s="17" t="s">
        <v>207</v>
      </c>
      <c r="N1271" s="52" t="s">
        <v>207</v>
      </c>
      <c r="O1271" s="17" t="s">
        <v>86</v>
      </c>
      <c r="P1271" s="17" t="s">
        <v>86</v>
      </c>
      <c r="Q1271" s="81" t="s">
        <v>14938</v>
      </c>
      <c r="R1271" s="11">
        <v>30.911966</v>
      </c>
      <c r="S1271" s="11">
        <v>-87.339551</v>
      </c>
      <c r="T1271" s="11" t="s">
        <v>14939</v>
      </c>
      <c r="U1271" s="11" t="s">
        <v>14940</v>
      </c>
      <c r="V1271" s="17" t="s">
        <v>14941</v>
      </c>
      <c r="W1271" s="17" t="s">
        <v>14942</v>
      </c>
      <c r="X1271" s="70"/>
      <c r="Y1271" s="70"/>
      <c r="Z1271" s="13">
        <v>31520</v>
      </c>
      <c r="AA1271" s="13"/>
      <c r="AB1271" s="13"/>
      <c r="AC1271" s="13"/>
      <c r="AD1271" s="86"/>
      <c r="AE1271" s="86"/>
      <c r="AF1271" s="70" t="s">
        <v>207</v>
      </c>
      <c r="AG1271" s="14" t="s">
        <v>207</v>
      </c>
      <c r="AH1271" s="14" t="s">
        <v>207</v>
      </c>
      <c r="AI1271" s="70" t="s">
        <v>207</v>
      </c>
      <c r="AJ1271" s="14" t="s">
        <v>207</v>
      </c>
      <c r="AK1271" s="14" t="s">
        <v>207</v>
      </c>
      <c r="AL1271" s="14" t="s">
        <v>207</v>
      </c>
      <c r="AM1271" s="14" t="s">
        <v>207</v>
      </c>
      <c r="AN1271" s="14" t="s">
        <v>207</v>
      </c>
      <c r="AO1271" s="14" t="s">
        <v>207</v>
      </c>
      <c r="AP1271" s="14" t="s">
        <v>207</v>
      </c>
      <c r="AQ1271" s="14" t="s">
        <v>207</v>
      </c>
      <c r="AR1271" s="14" t="s">
        <v>207</v>
      </c>
      <c r="AS1271" s="14" t="s">
        <v>207</v>
      </c>
      <c r="AT1271" s="14" t="s">
        <v>207</v>
      </c>
      <c r="AU1271" s="30" t="s">
        <v>1843</v>
      </c>
      <c r="AV1271" s="14" t="s">
        <v>207</v>
      </c>
      <c r="AW1271" s="74"/>
      <c r="AX1271" s="1"/>
      <c r="AY1271" s="17" t="s">
        <v>101</v>
      </c>
    </row>
    <row r="1272" spans="1:51" ht="12.75" customHeight="1" x14ac:dyDescent="0.25">
      <c r="A1272" s="5">
        <v>1206</v>
      </c>
      <c r="B1272" s="9">
        <v>1206</v>
      </c>
      <c r="C1272" s="9" t="s">
        <v>14943</v>
      </c>
      <c r="D1272" s="57" t="str">
        <f>HYPERLINK("http://prodenv.dep.state.fl.us/DepNexus/public/electronic-documents/OG_1206/facility!search","OG_1206_Docs")</f>
        <v>OG_1206_Docs</v>
      </c>
      <c r="E1272" s="57" t="str">
        <f>HYPERLINK("https://ca.dep.state.fl.us/mapdirect/?focus=oilandgas&amp;zoom=query&amp;querytype=oilandgas&amp;queryvalues=OG_1206","OG_1206_Map")</f>
        <v>OG_1206_Map</v>
      </c>
      <c r="F1272" s="1" t="s">
        <v>1797</v>
      </c>
      <c r="G1272" s="1" t="s">
        <v>14779</v>
      </c>
      <c r="H1272" s="1" t="s">
        <v>8261</v>
      </c>
      <c r="I1272" s="1" t="s">
        <v>14944</v>
      </c>
      <c r="J1272" s="17" t="s">
        <v>268</v>
      </c>
      <c r="K1272" s="17" t="s">
        <v>2105</v>
      </c>
      <c r="L1272" s="17"/>
      <c r="M1272" s="17" t="s">
        <v>101</v>
      </c>
      <c r="N1272" s="52" t="s">
        <v>14945</v>
      </c>
      <c r="O1272" s="17" t="s">
        <v>1962</v>
      </c>
      <c r="P1272" s="17" t="s">
        <v>86</v>
      </c>
      <c r="Q1272" s="81" t="s">
        <v>14946</v>
      </c>
      <c r="R1272" s="11">
        <v>30.984767999999999</v>
      </c>
      <c r="S1272" s="11">
        <v>-86.831869999999995</v>
      </c>
      <c r="T1272" s="11" t="s">
        <v>14947</v>
      </c>
      <c r="U1272" s="11" t="s">
        <v>14948</v>
      </c>
      <c r="V1272" s="17" t="s">
        <v>14949</v>
      </c>
      <c r="W1272" s="17" t="s">
        <v>14950</v>
      </c>
      <c r="X1272" s="70">
        <v>252</v>
      </c>
      <c r="Y1272" s="70">
        <v>227</v>
      </c>
      <c r="Z1272" s="13">
        <v>31538</v>
      </c>
      <c r="AA1272" s="13">
        <v>31773</v>
      </c>
      <c r="AB1272" s="13">
        <v>31845</v>
      </c>
      <c r="AC1272" s="13">
        <v>40930</v>
      </c>
      <c r="AD1272" s="86">
        <v>14400</v>
      </c>
      <c r="AE1272" s="86">
        <v>14400</v>
      </c>
      <c r="AF1272" s="70" t="s">
        <v>14951</v>
      </c>
      <c r="AG1272" s="17" t="s">
        <v>14952</v>
      </c>
      <c r="AH1272" s="17" t="s">
        <v>86</v>
      </c>
      <c r="AI1272" s="70" t="s">
        <v>14953</v>
      </c>
      <c r="AJ1272" s="17" t="s">
        <v>14954</v>
      </c>
      <c r="AK1272" s="17" t="s">
        <v>825</v>
      </c>
      <c r="AL1272" s="17" t="s">
        <v>14955</v>
      </c>
      <c r="AM1272" s="17" t="s">
        <v>95</v>
      </c>
      <c r="AN1272" s="17" t="s">
        <v>86</v>
      </c>
      <c r="AO1272" s="17" t="s">
        <v>14956</v>
      </c>
      <c r="AP1272" s="17" t="s">
        <v>14957</v>
      </c>
      <c r="AQ1272" s="17" t="s">
        <v>14958</v>
      </c>
      <c r="AR1272" s="17" t="s">
        <v>14959</v>
      </c>
      <c r="AS1272" s="17" t="s">
        <v>86</v>
      </c>
      <c r="AT1272" s="17">
        <v>222</v>
      </c>
      <c r="AU1272" s="30" t="s">
        <v>14960</v>
      </c>
      <c r="AV1272" s="14">
        <v>15998</v>
      </c>
      <c r="AW1272" s="74"/>
      <c r="AX1272" s="1"/>
      <c r="AY1272" s="17" t="s">
        <v>101</v>
      </c>
    </row>
    <row r="1273" spans="1:51" ht="12.75" customHeight="1" x14ac:dyDescent="0.25">
      <c r="A1273" s="5">
        <v>1207</v>
      </c>
      <c r="B1273" s="9">
        <v>1207</v>
      </c>
      <c r="C1273" s="9" t="s">
        <v>14961</v>
      </c>
      <c r="D1273" s="57" t="str">
        <f>HYPERLINK("http://prodenv.dep.state.fl.us/DepNexus/public/electronic-documents/OG_1207/facility!search","OG_1207_Docs")</f>
        <v>OG_1207_Docs</v>
      </c>
      <c r="E1273" s="57" t="str">
        <f>HYPERLINK("https://ca.dep.state.fl.us/mapdirect/?focus=oilandgas&amp;zoom=query&amp;querytype=oilandgas&amp;queryvalues=OG_1207","OG_1207_Map")</f>
        <v>OG_1207_Map</v>
      </c>
      <c r="F1273" s="1" t="s">
        <v>1797</v>
      </c>
      <c r="G1273" s="1" t="s">
        <v>79</v>
      </c>
      <c r="H1273" s="1" t="s">
        <v>13682</v>
      </c>
      <c r="I1273" s="1" t="s">
        <v>14962</v>
      </c>
      <c r="J1273" s="17" t="s">
        <v>82</v>
      </c>
      <c r="K1273" s="17" t="s">
        <v>83</v>
      </c>
      <c r="L1273" s="17"/>
      <c r="M1273" s="17"/>
      <c r="N1273" s="52" t="s">
        <v>14963</v>
      </c>
      <c r="O1273" s="17" t="s">
        <v>86</v>
      </c>
      <c r="P1273" s="17" t="s">
        <v>86</v>
      </c>
      <c r="Q1273" s="81" t="s">
        <v>14964</v>
      </c>
      <c r="R1273" s="11">
        <v>30.793617000000001</v>
      </c>
      <c r="S1273" s="11">
        <v>-87.231774000000001</v>
      </c>
      <c r="T1273" s="11" t="s">
        <v>14965</v>
      </c>
      <c r="U1273" s="11" t="s">
        <v>14966</v>
      </c>
      <c r="V1273" s="17" t="s">
        <v>14967</v>
      </c>
      <c r="W1273" s="17" t="s">
        <v>14968</v>
      </c>
      <c r="X1273" s="70">
        <v>148</v>
      </c>
      <c r="Y1273" s="70">
        <v>128</v>
      </c>
      <c r="Z1273" s="13">
        <v>31631</v>
      </c>
      <c r="AA1273" s="13">
        <v>31668</v>
      </c>
      <c r="AB1273" s="13"/>
      <c r="AC1273" s="13">
        <v>31728</v>
      </c>
      <c r="AD1273" s="86">
        <v>17030</v>
      </c>
      <c r="AE1273" s="86">
        <v>17030</v>
      </c>
      <c r="AF1273" s="70" t="s">
        <v>14969</v>
      </c>
      <c r="AG1273" s="17" t="s">
        <v>14970</v>
      </c>
      <c r="AH1273" s="17" t="s">
        <v>86</v>
      </c>
      <c r="AI1273" s="70" t="s">
        <v>94</v>
      </c>
      <c r="AJ1273" s="17" t="s">
        <v>94</v>
      </c>
      <c r="AK1273" s="17" t="s">
        <v>95</v>
      </c>
      <c r="AL1273" s="17" t="s">
        <v>86</v>
      </c>
      <c r="AM1273" s="17" t="s">
        <v>94</v>
      </c>
      <c r="AN1273" s="17" t="s">
        <v>86</v>
      </c>
      <c r="AO1273" s="17" t="s">
        <v>98</v>
      </c>
      <c r="AP1273" s="17" t="s">
        <v>98</v>
      </c>
      <c r="AQ1273" s="17" t="s">
        <v>98</v>
      </c>
      <c r="AR1273" s="17" t="s">
        <v>94</v>
      </c>
      <c r="AS1273" s="17" t="s">
        <v>14971</v>
      </c>
      <c r="AT1273" s="17">
        <v>304</v>
      </c>
      <c r="AU1273" s="30" t="s">
        <v>14972</v>
      </c>
      <c r="AV1273" s="14">
        <v>15978</v>
      </c>
      <c r="AW1273" s="74"/>
      <c r="AX1273" s="1"/>
      <c r="AY1273" s="17" t="s">
        <v>101</v>
      </c>
    </row>
    <row r="1274" spans="1:51" ht="15" customHeight="1" x14ac:dyDescent="0.25">
      <c r="A1274" s="5">
        <v>1208</v>
      </c>
      <c r="B1274" s="9">
        <v>1208</v>
      </c>
      <c r="C1274" s="9" t="s">
        <v>14973</v>
      </c>
      <c r="D1274" s="57" t="str">
        <f>HYPERLINK("http://prodenv.dep.state.fl.us/DepNexus/public/electronic-documents/OG_1208/facility!search","OG_1208_Docs")</f>
        <v>OG_1208_Docs</v>
      </c>
      <c r="E1274" s="57" t="str">
        <f>HYPERLINK("https://ca.dep.state.fl.us/mapdirect/?focus=oilandgas&amp;zoom=query&amp;querytype=oilandgas&amp;queryvalues=OG_1208","OG_1208_Map")</f>
        <v>OG_1208_Map</v>
      </c>
      <c r="F1274" s="1" t="s">
        <v>265</v>
      </c>
      <c r="G1274" s="1" t="s">
        <v>79</v>
      </c>
      <c r="H1274" s="1" t="s">
        <v>14466</v>
      </c>
      <c r="I1274" s="1" t="s">
        <v>4212</v>
      </c>
      <c r="J1274" s="17" t="s">
        <v>82</v>
      </c>
      <c r="K1274" s="17" t="s">
        <v>83</v>
      </c>
      <c r="L1274" s="17"/>
      <c r="M1274" s="17" t="s">
        <v>101</v>
      </c>
      <c r="N1274" s="52" t="s">
        <v>14974</v>
      </c>
      <c r="O1274" s="17" t="s">
        <v>86</v>
      </c>
      <c r="P1274" s="17" t="s">
        <v>86</v>
      </c>
      <c r="Q1274" s="81" t="s">
        <v>14975</v>
      </c>
      <c r="R1274" s="11">
        <v>26.419979000000001</v>
      </c>
      <c r="S1274" s="11">
        <v>-81.524697000000003</v>
      </c>
      <c r="T1274" s="11" t="s">
        <v>14976</v>
      </c>
      <c r="U1274" s="11" t="s">
        <v>14977</v>
      </c>
      <c r="V1274" s="17" t="s">
        <v>14978</v>
      </c>
      <c r="W1274" s="17" t="s">
        <v>14979</v>
      </c>
      <c r="X1274" s="70">
        <v>42.9</v>
      </c>
      <c r="Y1274" s="70">
        <v>21.8</v>
      </c>
      <c r="Z1274" s="13">
        <v>31693</v>
      </c>
      <c r="AA1274" s="13">
        <v>32136</v>
      </c>
      <c r="AB1274" s="13">
        <v>32170</v>
      </c>
      <c r="AC1274" s="13">
        <v>32174</v>
      </c>
      <c r="AD1274" s="86">
        <v>11850</v>
      </c>
      <c r="AE1274" s="86">
        <v>11850</v>
      </c>
      <c r="AF1274" s="70" t="s">
        <v>10046</v>
      </c>
      <c r="AG1274" s="17" t="s">
        <v>14980</v>
      </c>
      <c r="AH1274" s="17" t="s">
        <v>14981</v>
      </c>
      <c r="AI1274" s="70" t="s">
        <v>86</v>
      </c>
      <c r="AJ1274" s="17" t="s">
        <v>94</v>
      </c>
      <c r="AK1274" s="17" t="s">
        <v>95</v>
      </c>
      <c r="AL1274" s="17" t="s">
        <v>14982</v>
      </c>
      <c r="AM1274" s="17" t="s">
        <v>95</v>
      </c>
      <c r="AN1274" s="17" t="s">
        <v>86</v>
      </c>
      <c r="AO1274" s="17" t="s">
        <v>98</v>
      </c>
      <c r="AP1274" s="17" t="s">
        <v>98</v>
      </c>
      <c r="AQ1274" s="17" t="s">
        <v>98</v>
      </c>
      <c r="AR1274" s="17" t="s">
        <v>94</v>
      </c>
      <c r="AS1274" s="17" t="s">
        <v>14983</v>
      </c>
      <c r="AT1274" s="17" t="s">
        <v>94</v>
      </c>
      <c r="AU1274" s="30" t="s">
        <v>14984</v>
      </c>
      <c r="AV1274" s="14">
        <v>16122</v>
      </c>
      <c r="AW1274" s="74"/>
      <c r="AX1274" s="61" t="s">
        <v>14985</v>
      </c>
      <c r="AY1274" s="17" t="s">
        <v>101</v>
      </c>
    </row>
    <row r="1275" spans="1:51" ht="12.75" customHeight="1" x14ac:dyDescent="0.25">
      <c r="A1275" s="5">
        <v>1209</v>
      </c>
      <c r="B1275" s="9">
        <v>1209</v>
      </c>
      <c r="C1275" s="9" t="s">
        <v>14986</v>
      </c>
      <c r="D1275" s="57" t="str">
        <f>HYPERLINK("http://prodenv.dep.state.fl.us/DepNexus/public/electronic-documents/OG_1209/facility!search","OG_1209_Docs")</f>
        <v>OG_1209_Docs</v>
      </c>
      <c r="E1275" s="57" t="str">
        <f>HYPERLINK("https://ca.dep.state.fl.us/mapdirect/?focus=oilandgas&amp;zoom=query&amp;querytype=oilandgas&amp;queryvalues=OG_1209","OG_1209_Map")</f>
        <v>OG_1209_Map</v>
      </c>
      <c r="F1275" s="1" t="s">
        <v>265</v>
      </c>
      <c r="G1275" s="1" t="s">
        <v>79</v>
      </c>
      <c r="H1275" s="1" t="s">
        <v>14466</v>
      </c>
      <c r="I1275" s="1" t="s">
        <v>14987</v>
      </c>
      <c r="J1275" s="17" t="s">
        <v>207</v>
      </c>
      <c r="K1275" s="17" t="s">
        <v>208</v>
      </c>
      <c r="L1275" s="17"/>
      <c r="M1275" s="17" t="s">
        <v>207</v>
      </c>
      <c r="N1275" s="52" t="s">
        <v>207</v>
      </c>
      <c r="O1275" s="17" t="s">
        <v>270</v>
      </c>
      <c r="P1275" s="17" t="s">
        <v>86</v>
      </c>
      <c r="Q1275" s="81" t="s">
        <v>14988</v>
      </c>
      <c r="R1275" s="11">
        <v>26.226185000000001</v>
      </c>
      <c r="S1275" s="11">
        <v>-81.328078000000005</v>
      </c>
      <c r="T1275" s="11" t="s">
        <v>14989</v>
      </c>
      <c r="U1275" s="11" t="s">
        <v>14990</v>
      </c>
      <c r="V1275" s="17" t="s">
        <v>14991</v>
      </c>
      <c r="W1275" s="17" t="s">
        <v>14992</v>
      </c>
      <c r="X1275" s="70"/>
      <c r="Y1275" s="70"/>
      <c r="Z1275" s="13">
        <v>31706</v>
      </c>
      <c r="AA1275" s="13"/>
      <c r="AB1275" s="13"/>
      <c r="AC1275" s="13"/>
      <c r="AD1275" s="86"/>
      <c r="AE1275" s="86"/>
      <c r="AF1275" s="70" t="s">
        <v>207</v>
      </c>
      <c r="AG1275" s="14" t="s">
        <v>207</v>
      </c>
      <c r="AH1275" s="14" t="s">
        <v>207</v>
      </c>
      <c r="AI1275" s="70" t="s">
        <v>207</v>
      </c>
      <c r="AJ1275" s="14" t="s">
        <v>207</v>
      </c>
      <c r="AK1275" s="14" t="s">
        <v>207</v>
      </c>
      <c r="AL1275" s="14" t="s">
        <v>207</v>
      </c>
      <c r="AM1275" s="14" t="s">
        <v>207</v>
      </c>
      <c r="AN1275" s="14" t="s">
        <v>207</v>
      </c>
      <c r="AO1275" s="14" t="s">
        <v>207</v>
      </c>
      <c r="AP1275" s="14" t="s">
        <v>207</v>
      </c>
      <c r="AQ1275" s="14" t="s">
        <v>207</v>
      </c>
      <c r="AR1275" s="14" t="s">
        <v>207</v>
      </c>
      <c r="AS1275" s="14" t="s">
        <v>207</v>
      </c>
      <c r="AT1275" s="14" t="s">
        <v>207</v>
      </c>
      <c r="AU1275" s="30" t="s">
        <v>1843</v>
      </c>
      <c r="AV1275" s="14" t="s">
        <v>207</v>
      </c>
      <c r="AW1275" s="74"/>
      <c r="AX1275" s="1"/>
      <c r="AY1275" s="17" t="s">
        <v>101</v>
      </c>
    </row>
    <row r="1276" spans="1:51" ht="12.75" customHeight="1" x14ac:dyDescent="0.25">
      <c r="A1276" s="5">
        <v>1210</v>
      </c>
      <c r="B1276" s="9">
        <v>1210</v>
      </c>
      <c r="C1276" s="9" t="s">
        <v>14993</v>
      </c>
      <c r="D1276" s="57" t="str">
        <f>HYPERLINK("http://prodenv.dep.state.fl.us/DepNexus/public/electronic-documents/OG_1210/facility!search","OG_1210_Docs")</f>
        <v>OG_1210_Docs</v>
      </c>
      <c r="E1276" s="57" t="str">
        <f>HYPERLINK("https://ca.dep.state.fl.us/mapdirect/?focus=oilandgas&amp;zoom=query&amp;querytype=oilandgas&amp;queryvalues=OG_1210","OG_1210_Map")</f>
        <v>OG_1210_Map</v>
      </c>
      <c r="F1276" s="1" t="s">
        <v>1797</v>
      </c>
      <c r="G1276" s="1" t="s">
        <v>5133</v>
      </c>
      <c r="H1276" s="1" t="s">
        <v>8261</v>
      </c>
      <c r="I1276" s="1" t="s">
        <v>14994</v>
      </c>
      <c r="J1276" s="17" t="s">
        <v>268</v>
      </c>
      <c r="K1276" s="17" t="s">
        <v>412</v>
      </c>
      <c r="L1276" s="17"/>
      <c r="M1276" s="17"/>
      <c r="N1276" s="52" t="s">
        <v>14995</v>
      </c>
      <c r="O1276" s="17" t="s">
        <v>86</v>
      </c>
      <c r="P1276" s="17" t="s">
        <v>86</v>
      </c>
      <c r="Q1276" s="81" t="s">
        <v>6896</v>
      </c>
      <c r="R1276" s="11">
        <v>30.945011000000001</v>
      </c>
      <c r="S1276" s="11">
        <v>-87.163195000000002</v>
      </c>
      <c r="T1276" s="11" t="s">
        <v>14996</v>
      </c>
      <c r="U1276" s="11" t="s">
        <v>14997</v>
      </c>
      <c r="V1276" s="17" t="s">
        <v>14998</v>
      </c>
      <c r="W1276" s="17" t="s">
        <v>14999</v>
      </c>
      <c r="X1276" s="70">
        <v>297</v>
      </c>
      <c r="Y1276" s="70">
        <v>270</v>
      </c>
      <c r="Z1276" s="13">
        <v>31720</v>
      </c>
      <c r="AA1276" s="13">
        <v>31746</v>
      </c>
      <c r="AB1276" s="13">
        <v>31813</v>
      </c>
      <c r="AC1276" s="13">
        <v>37930</v>
      </c>
      <c r="AD1276" s="86">
        <v>15880</v>
      </c>
      <c r="AE1276" s="86">
        <v>15880</v>
      </c>
      <c r="AF1276" s="70" t="s">
        <v>11383</v>
      </c>
      <c r="AG1276" s="17" t="s">
        <v>15000</v>
      </c>
      <c r="AH1276" s="17" t="s">
        <v>86</v>
      </c>
      <c r="AI1276" s="70" t="s">
        <v>15001</v>
      </c>
      <c r="AJ1276" s="17" t="s">
        <v>15002</v>
      </c>
      <c r="AK1276" s="17" t="s">
        <v>825</v>
      </c>
      <c r="AL1276" s="17" t="s">
        <v>15003</v>
      </c>
      <c r="AM1276" s="17" t="s">
        <v>95</v>
      </c>
      <c r="AN1276" s="17" t="s">
        <v>86</v>
      </c>
      <c r="AO1276" s="17" t="s">
        <v>7931</v>
      </c>
      <c r="AP1276" s="17" t="s">
        <v>15004</v>
      </c>
      <c r="AQ1276" s="17" t="s">
        <v>15005</v>
      </c>
      <c r="AR1276" s="17" t="s">
        <v>15006</v>
      </c>
      <c r="AS1276" s="17" t="s">
        <v>15007</v>
      </c>
      <c r="AT1276" s="17">
        <v>264</v>
      </c>
      <c r="AU1276" s="30" t="s">
        <v>15008</v>
      </c>
      <c r="AV1276" s="14">
        <v>16028</v>
      </c>
      <c r="AW1276" s="74"/>
      <c r="AX1276" s="1"/>
      <c r="AY1276" s="17" t="s">
        <v>101</v>
      </c>
    </row>
    <row r="1277" spans="1:51" ht="12.75" customHeight="1" x14ac:dyDescent="0.25">
      <c r="A1277" s="5">
        <v>1211</v>
      </c>
      <c r="B1277" s="9">
        <v>1211</v>
      </c>
      <c r="C1277" s="9" t="s">
        <v>15009</v>
      </c>
      <c r="D1277" s="57" t="str">
        <f>HYPERLINK("http://prodenv.dep.state.fl.us/DepNexus/public/electronic-documents/OG_1211/facility!search","OG_1211_Docs")</f>
        <v>OG_1211_Docs</v>
      </c>
      <c r="E1277" s="57" t="str">
        <f>HYPERLINK("https://ca.dep.state.fl.us/mapdirect/?focus=oilandgas&amp;zoom=query&amp;querytype=oilandgas&amp;queryvalues=OG_1211","OG_1211_Map")</f>
        <v>OG_1211_Map</v>
      </c>
      <c r="F1277" s="1" t="s">
        <v>1797</v>
      </c>
      <c r="G1277" s="1" t="s">
        <v>14779</v>
      </c>
      <c r="H1277" s="1" t="s">
        <v>8261</v>
      </c>
      <c r="I1277" s="1" t="s">
        <v>15010</v>
      </c>
      <c r="J1277" s="17" t="s">
        <v>207</v>
      </c>
      <c r="K1277" s="17" t="s">
        <v>208</v>
      </c>
      <c r="L1277" s="17"/>
      <c r="M1277" s="17" t="s">
        <v>207</v>
      </c>
      <c r="N1277" s="52" t="s">
        <v>207</v>
      </c>
      <c r="O1277" s="17" t="s">
        <v>1962</v>
      </c>
      <c r="P1277" s="17" t="s">
        <v>86</v>
      </c>
      <c r="Q1277" s="81" t="s">
        <v>15011</v>
      </c>
      <c r="R1277" s="11">
        <v>30.993338000000001</v>
      </c>
      <c r="S1277" s="11">
        <v>-86.845371999999998</v>
      </c>
      <c r="T1277" s="11" t="s">
        <v>15012</v>
      </c>
      <c r="U1277" s="11" t="s">
        <v>15013</v>
      </c>
      <c r="V1277" s="17" t="s">
        <v>15014</v>
      </c>
      <c r="W1277" s="17" t="s">
        <v>15015</v>
      </c>
      <c r="X1277" s="70"/>
      <c r="Y1277" s="70"/>
      <c r="Z1277" s="13">
        <v>31734</v>
      </c>
      <c r="AA1277" s="13"/>
      <c r="AB1277" s="13"/>
      <c r="AC1277" s="13"/>
      <c r="AD1277" s="86"/>
      <c r="AE1277" s="86"/>
      <c r="AF1277" s="70" t="s">
        <v>207</v>
      </c>
      <c r="AG1277" s="17" t="s">
        <v>207</v>
      </c>
      <c r="AH1277" s="17" t="s">
        <v>207</v>
      </c>
      <c r="AI1277" s="70" t="s">
        <v>207</v>
      </c>
      <c r="AJ1277" s="17" t="s">
        <v>207</v>
      </c>
      <c r="AK1277" s="17" t="s">
        <v>207</v>
      </c>
      <c r="AL1277" s="17" t="s">
        <v>207</v>
      </c>
      <c r="AM1277" s="17" t="s">
        <v>207</v>
      </c>
      <c r="AN1277" s="17" t="s">
        <v>207</v>
      </c>
      <c r="AO1277" s="17" t="s">
        <v>207</v>
      </c>
      <c r="AP1277" s="17" t="s">
        <v>207</v>
      </c>
      <c r="AQ1277" s="17" t="s">
        <v>207</v>
      </c>
      <c r="AR1277" s="17" t="s">
        <v>207</v>
      </c>
      <c r="AS1277" s="17" t="s">
        <v>207</v>
      </c>
      <c r="AT1277" s="17" t="s">
        <v>207</v>
      </c>
      <c r="AU1277" s="30" t="s">
        <v>1843</v>
      </c>
      <c r="AV1277" s="14" t="s">
        <v>207</v>
      </c>
      <c r="AW1277" s="74"/>
      <c r="AX1277" s="1"/>
      <c r="AY1277" s="17" t="s">
        <v>101</v>
      </c>
    </row>
    <row r="1278" spans="1:51" ht="15" customHeight="1" x14ac:dyDescent="0.25">
      <c r="A1278" s="5">
        <v>1212</v>
      </c>
      <c r="B1278" s="9">
        <v>1212</v>
      </c>
      <c r="C1278" s="9" t="s">
        <v>15016</v>
      </c>
      <c r="D1278" s="57" t="str">
        <f>HYPERLINK("http://prodenv.dep.state.fl.us/DepNexus/public/electronic-documents/OG_1212/facility!search","OG_1212_Docs")</f>
        <v>OG_1212_Docs</v>
      </c>
      <c r="E1278" s="57" t="str">
        <f>HYPERLINK("https://ca.dep.state.fl.us/mapdirect/?focus=oilandgas&amp;zoom=query&amp;querytype=oilandgas&amp;queryvalues=OG_1212","OG_1212_Map")</f>
        <v>OG_1212_Map</v>
      </c>
      <c r="F1278" s="1" t="s">
        <v>1682</v>
      </c>
      <c r="G1278" s="1" t="s">
        <v>79</v>
      </c>
      <c r="H1278" s="1" t="s">
        <v>13487</v>
      </c>
      <c r="I1278" s="1" t="s">
        <v>15017</v>
      </c>
      <c r="J1278" s="17" t="s">
        <v>82</v>
      </c>
      <c r="K1278" s="17" t="s">
        <v>83</v>
      </c>
      <c r="L1278" s="17"/>
      <c r="M1278" s="17"/>
      <c r="N1278" s="52" t="s">
        <v>15018</v>
      </c>
      <c r="O1278" s="17" t="s">
        <v>86</v>
      </c>
      <c r="P1278" s="17" t="s">
        <v>86</v>
      </c>
      <c r="Q1278" s="81" t="s">
        <v>15019</v>
      </c>
      <c r="R1278" s="11">
        <v>30.968246000000001</v>
      </c>
      <c r="S1278" s="11">
        <v>-87.337118000000004</v>
      </c>
      <c r="T1278" s="11" t="s">
        <v>15020</v>
      </c>
      <c r="U1278" s="11" t="s">
        <v>15021</v>
      </c>
      <c r="V1278" s="17" t="s">
        <v>15022</v>
      </c>
      <c r="W1278" s="17" t="s">
        <v>110</v>
      </c>
      <c r="X1278" s="70">
        <v>270</v>
      </c>
      <c r="Y1278" s="70">
        <v>243</v>
      </c>
      <c r="Z1278" s="13">
        <v>31750</v>
      </c>
      <c r="AA1278" s="13">
        <v>31794</v>
      </c>
      <c r="AB1278" s="13">
        <v>31829</v>
      </c>
      <c r="AC1278" s="13">
        <v>31844</v>
      </c>
      <c r="AD1278" s="86">
        <v>16311</v>
      </c>
      <c r="AE1278" s="86">
        <v>16311</v>
      </c>
      <c r="AF1278" s="70" t="s">
        <v>12521</v>
      </c>
      <c r="AG1278" s="17" t="s">
        <v>15023</v>
      </c>
      <c r="AH1278" s="17" t="s">
        <v>86</v>
      </c>
      <c r="AI1278" s="70" t="s">
        <v>94</v>
      </c>
      <c r="AJ1278" s="17" t="s">
        <v>94</v>
      </c>
      <c r="AK1278" s="17" t="s">
        <v>825</v>
      </c>
      <c r="AL1278" s="17" t="s">
        <v>15024</v>
      </c>
      <c r="AM1278" s="17" t="s">
        <v>95</v>
      </c>
      <c r="AN1278" s="17" t="s">
        <v>825</v>
      </c>
      <c r="AO1278" s="17" t="s">
        <v>98</v>
      </c>
      <c r="AP1278" s="17" t="s">
        <v>98</v>
      </c>
      <c r="AQ1278" s="17" t="s">
        <v>98</v>
      </c>
      <c r="AR1278" s="17" t="s">
        <v>94</v>
      </c>
      <c r="AS1278" s="17" t="s">
        <v>15025</v>
      </c>
      <c r="AT1278" s="17">
        <v>268</v>
      </c>
      <c r="AU1278" s="30" t="s">
        <v>15026</v>
      </c>
      <c r="AV1278" s="14">
        <v>16407</v>
      </c>
      <c r="AW1278" s="74"/>
      <c r="AX1278" s="1"/>
      <c r="AY1278" s="17" t="s">
        <v>101</v>
      </c>
    </row>
    <row r="1279" spans="1:51" ht="12.75" customHeight="1" x14ac:dyDescent="0.25">
      <c r="A1279" s="5">
        <v>1213</v>
      </c>
      <c r="B1279" s="9">
        <v>1213</v>
      </c>
      <c r="C1279" s="9" t="s">
        <v>15027</v>
      </c>
      <c r="D1279" s="57" t="str">
        <f>HYPERLINK("http://prodenv.dep.state.fl.us/DepNexus/public/electronic-documents/OG_1213/facility!search","OG_1213_Docs")</f>
        <v>OG_1213_Docs</v>
      </c>
      <c r="E1279" s="57" t="str">
        <f>HYPERLINK("https://ca.dep.state.fl.us/mapdirect/?focus=oilandgas&amp;zoom=query&amp;querytype=oilandgas&amp;queryvalues=OG_1213","OG_1213_Map")</f>
        <v>OG_1213_Map</v>
      </c>
      <c r="F1279" s="1" t="s">
        <v>1797</v>
      </c>
      <c r="G1279" s="1" t="s">
        <v>79</v>
      </c>
      <c r="H1279" s="1" t="s">
        <v>13682</v>
      </c>
      <c r="I1279" s="1" t="s">
        <v>15028</v>
      </c>
      <c r="J1279" s="17" t="s">
        <v>207</v>
      </c>
      <c r="K1279" s="17" t="s">
        <v>208</v>
      </c>
      <c r="L1279" s="17"/>
      <c r="M1279" s="17" t="s">
        <v>207</v>
      </c>
      <c r="N1279" s="52" t="s">
        <v>207</v>
      </c>
      <c r="O1279" s="17" t="s">
        <v>86</v>
      </c>
      <c r="P1279" s="17" t="s">
        <v>86</v>
      </c>
      <c r="Q1279" s="81" t="s">
        <v>15029</v>
      </c>
      <c r="R1279" s="11">
        <v>30.821083999999999</v>
      </c>
      <c r="S1279" s="11">
        <v>-87.277818999999994</v>
      </c>
      <c r="T1279" s="11" t="s">
        <v>15030</v>
      </c>
      <c r="U1279" s="11" t="s">
        <v>15031</v>
      </c>
      <c r="V1279" s="17" t="s">
        <v>15032</v>
      </c>
      <c r="W1279" s="17" t="s">
        <v>15033</v>
      </c>
      <c r="X1279" s="70"/>
      <c r="Y1279" s="70"/>
      <c r="Z1279" s="13">
        <v>31769</v>
      </c>
      <c r="AA1279" s="13"/>
      <c r="AB1279" s="13"/>
      <c r="AC1279" s="13"/>
      <c r="AD1279" s="86"/>
      <c r="AE1279" s="86"/>
      <c r="AF1279" s="70" t="s">
        <v>207</v>
      </c>
      <c r="AG1279" s="14" t="s">
        <v>207</v>
      </c>
      <c r="AH1279" s="14" t="s">
        <v>207</v>
      </c>
      <c r="AI1279" s="70" t="s">
        <v>207</v>
      </c>
      <c r="AJ1279" s="14" t="s">
        <v>207</v>
      </c>
      <c r="AK1279" s="14" t="s">
        <v>207</v>
      </c>
      <c r="AL1279" s="14" t="s">
        <v>207</v>
      </c>
      <c r="AM1279" s="14" t="s">
        <v>207</v>
      </c>
      <c r="AN1279" s="14" t="s">
        <v>207</v>
      </c>
      <c r="AO1279" s="14" t="s">
        <v>207</v>
      </c>
      <c r="AP1279" s="14" t="s">
        <v>207</v>
      </c>
      <c r="AQ1279" s="14" t="s">
        <v>207</v>
      </c>
      <c r="AR1279" s="14" t="s">
        <v>207</v>
      </c>
      <c r="AS1279" s="14" t="s">
        <v>207</v>
      </c>
      <c r="AT1279" s="14" t="s">
        <v>207</v>
      </c>
      <c r="AU1279" s="30" t="s">
        <v>1843</v>
      </c>
      <c r="AV1279" s="14" t="s">
        <v>207</v>
      </c>
      <c r="AW1279" s="74"/>
      <c r="AX1279" s="1"/>
      <c r="AY1279" s="17" t="s">
        <v>101</v>
      </c>
    </row>
    <row r="1280" spans="1:51" ht="12.75" customHeight="1" x14ac:dyDescent="0.25">
      <c r="A1280" s="5">
        <v>1214</v>
      </c>
      <c r="B1280" s="9">
        <v>1214</v>
      </c>
      <c r="C1280" s="9" t="s">
        <v>15034</v>
      </c>
      <c r="D1280" s="57" t="str">
        <f>HYPERLINK("http://prodenv.dep.state.fl.us/DepNexus/public/electronic-documents/OG_1214/facility!search","OG_1214_Docs")</f>
        <v>OG_1214_Docs</v>
      </c>
      <c r="E1280" s="57" t="str">
        <f>HYPERLINK("https://ca.dep.state.fl.us/mapdirect/?focus=oilandgas&amp;zoom=query&amp;querytype=oilandgas&amp;queryvalues=OG_1214","OG_1214_Map")</f>
        <v>OG_1214_Map</v>
      </c>
      <c r="F1280" s="1" t="s">
        <v>1797</v>
      </c>
      <c r="G1280" s="1" t="s">
        <v>79</v>
      </c>
      <c r="H1280" s="1" t="s">
        <v>13682</v>
      </c>
      <c r="I1280" s="1" t="s">
        <v>15035</v>
      </c>
      <c r="J1280" s="17" t="s">
        <v>207</v>
      </c>
      <c r="K1280" s="17" t="s">
        <v>208</v>
      </c>
      <c r="L1280" s="17"/>
      <c r="M1280" s="17" t="s">
        <v>207</v>
      </c>
      <c r="N1280" s="52" t="s">
        <v>207</v>
      </c>
      <c r="O1280" s="17" t="s">
        <v>86</v>
      </c>
      <c r="P1280" s="17" t="s">
        <v>86</v>
      </c>
      <c r="Q1280" s="81" t="s">
        <v>15036</v>
      </c>
      <c r="R1280" s="11">
        <v>30.791288000000002</v>
      </c>
      <c r="S1280" s="11">
        <v>-87.247542999999993</v>
      </c>
      <c r="T1280" s="11" t="s">
        <v>15037</v>
      </c>
      <c r="U1280" s="11" t="s">
        <v>15038</v>
      </c>
      <c r="V1280" s="17" t="s">
        <v>15039</v>
      </c>
      <c r="W1280" s="17" t="s">
        <v>15040</v>
      </c>
      <c r="X1280" s="70"/>
      <c r="Y1280" s="70"/>
      <c r="Z1280" s="13">
        <v>31793</v>
      </c>
      <c r="AA1280" s="13"/>
      <c r="AB1280" s="13"/>
      <c r="AC1280" s="13"/>
      <c r="AD1280" s="86"/>
      <c r="AE1280" s="86"/>
      <c r="AF1280" s="70" t="s">
        <v>207</v>
      </c>
      <c r="AG1280" s="14" t="s">
        <v>207</v>
      </c>
      <c r="AH1280" s="14" t="s">
        <v>207</v>
      </c>
      <c r="AI1280" s="70" t="s">
        <v>207</v>
      </c>
      <c r="AJ1280" s="14" t="s">
        <v>207</v>
      </c>
      <c r="AK1280" s="14" t="s">
        <v>207</v>
      </c>
      <c r="AL1280" s="14" t="s">
        <v>207</v>
      </c>
      <c r="AM1280" s="14" t="s">
        <v>207</v>
      </c>
      <c r="AN1280" s="14" t="s">
        <v>207</v>
      </c>
      <c r="AO1280" s="14" t="s">
        <v>207</v>
      </c>
      <c r="AP1280" s="14" t="s">
        <v>207</v>
      </c>
      <c r="AQ1280" s="14" t="s">
        <v>207</v>
      </c>
      <c r="AR1280" s="14" t="s">
        <v>207</v>
      </c>
      <c r="AS1280" s="14" t="s">
        <v>207</v>
      </c>
      <c r="AT1280" s="14" t="s">
        <v>207</v>
      </c>
      <c r="AU1280" s="30" t="s">
        <v>1843</v>
      </c>
      <c r="AV1280" s="14" t="s">
        <v>207</v>
      </c>
      <c r="AW1280" s="74"/>
      <c r="AX1280" s="1"/>
      <c r="AY1280" s="17" t="s">
        <v>101</v>
      </c>
    </row>
    <row r="1281" spans="1:51" ht="12.75" customHeight="1" x14ac:dyDescent="0.25">
      <c r="A1281" s="5">
        <v>1215</v>
      </c>
      <c r="B1281" s="9">
        <v>1215</v>
      </c>
      <c r="C1281" s="9" t="s">
        <v>15041</v>
      </c>
      <c r="D1281" s="57" t="str">
        <f>HYPERLINK("http://prodenv.dep.state.fl.us/DepNexus/public/electronic-documents/OG_1215/facility!search","OG_1215_Docs")</f>
        <v>OG_1215_Docs</v>
      </c>
      <c r="E1281" s="57" t="str">
        <f>HYPERLINK("https://ca.dep.state.fl.us/mapdirect/?focus=oilandgas&amp;zoom=query&amp;querytype=oilandgas&amp;queryvalues=OG_1215","OG_1215_Map")</f>
        <v>OG_1215_Map</v>
      </c>
      <c r="F1281" s="1" t="s">
        <v>265</v>
      </c>
      <c r="G1281" s="1" t="s">
        <v>10452</v>
      </c>
      <c r="H1281" s="1" t="s">
        <v>1363</v>
      </c>
      <c r="I1281" s="1" t="s">
        <v>14529</v>
      </c>
      <c r="J1281" s="17" t="s">
        <v>5107</v>
      </c>
      <c r="K1281" s="17" t="s">
        <v>412</v>
      </c>
      <c r="L1281" s="17"/>
      <c r="M1281" s="17" t="s">
        <v>101</v>
      </c>
      <c r="N1281" s="52" t="s">
        <v>15042</v>
      </c>
      <c r="O1281" s="17" t="s">
        <v>270</v>
      </c>
      <c r="P1281" s="17" t="s">
        <v>3395</v>
      </c>
      <c r="Q1281" s="81" t="s">
        <v>14530</v>
      </c>
      <c r="R1281" s="11">
        <v>26.001408000000001</v>
      </c>
      <c r="S1281" s="11">
        <v>-80.911242999999999</v>
      </c>
      <c r="T1281" s="11" t="s">
        <v>15043</v>
      </c>
      <c r="U1281" s="11" t="s">
        <v>15044</v>
      </c>
      <c r="V1281" s="17" t="s">
        <v>14533</v>
      </c>
      <c r="W1281" s="17" t="s">
        <v>13115</v>
      </c>
      <c r="X1281" s="70">
        <v>34</v>
      </c>
      <c r="Y1281" s="70"/>
      <c r="Z1281" s="13">
        <v>31853</v>
      </c>
      <c r="AA1281" s="13">
        <v>32098</v>
      </c>
      <c r="AB1281" s="13">
        <v>32196</v>
      </c>
      <c r="AC1281" s="13">
        <v>40797</v>
      </c>
      <c r="AD1281" s="86">
        <v>11542</v>
      </c>
      <c r="AE1281" s="86">
        <v>11800</v>
      </c>
      <c r="AF1281" s="70" t="s">
        <v>15045</v>
      </c>
      <c r="AG1281" s="17" t="s">
        <v>15046</v>
      </c>
      <c r="AH1281" s="17" t="s">
        <v>15047</v>
      </c>
      <c r="AI1281" s="70" t="s">
        <v>15048</v>
      </c>
      <c r="AJ1281" s="17" t="s">
        <v>15049</v>
      </c>
      <c r="AK1281" s="17" t="s">
        <v>95</v>
      </c>
      <c r="AL1281" s="17" t="s">
        <v>86</v>
      </c>
      <c r="AM1281" s="17"/>
      <c r="AN1281" s="17"/>
      <c r="AO1281" s="17" t="s">
        <v>15050</v>
      </c>
      <c r="AP1281" s="17" t="s">
        <v>86</v>
      </c>
      <c r="AQ1281" s="17" t="s">
        <v>10995</v>
      </c>
      <c r="AR1281" s="17" t="s">
        <v>15051</v>
      </c>
      <c r="AS1281" s="17" t="s">
        <v>15052</v>
      </c>
      <c r="AT1281" s="17">
        <v>173</v>
      </c>
      <c r="AU1281" s="30" t="s">
        <v>15053</v>
      </c>
      <c r="AV1281" s="14">
        <v>16121</v>
      </c>
      <c r="AW1281" s="74">
        <v>306479</v>
      </c>
      <c r="AX1281" s="1"/>
      <c r="AY1281" s="17" t="s">
        <v>101</v>
      </c>
    </row>
    <row r="1282" spans="1:51" ht="12.75" customHeight="1" x14ac:dyDescent="0.25">
      <c r="A1282" s="5">
        <v>1215.0999999999999</v>
      </c>
      <c r="B1282" s="9" t="s">
        <v>15054</v>
      </c>
      <c r="C1282" s="9" t="s">
        <v>15041</v>
      </c>
      <c r="D1282" s="57" t="str">
        <f>HYPERLINK("http://prodenv.dep.state.fl.us/DepNexus/public/electronic-documents/OG_1215/facility!search","OG_1215_Docs")</f>
        <v>OG_1215_Docs</v>
      </c>
      <c r="E1282" s="57" t="str">
        <f>HYPERLINK("https://ca.dep.state.fl.us/mapdirect/?focus=oilandgas&amp;zoom=query&amp;querytype=oilandgas&amp;queryvalues=OG_1215","OG_1215_Map")</f>
        <v>OG_1215_Map</v>
      </c>
      <c r="F1282" s="1" t="s">
        <v>265</v>
      </c>
      <c r="G1282" s="1" t="s">
        <v>10452</v>
      </c>
      <c r="H1282" s="1" t="s">
        <v>12827</v>
      </c>
      <c r="I1282" s="1" t="s">
        <v>15055</v>
      </c>
      <c r="J1282" s="17" t="s">
        <v>268</v>
      </c>
      <c r="K1282" s="17" t="s">
        <v>412</v>
      </c>
      <c r="L1282" s="17"/>
      <c r="M1282" s="17"/>
      <c r="N1282" s="52"/>
      <c r="O1282" s="17" t="s">
        <v>270</v>
      </c>
      <c r="P1282" s="17" t="s">
        <v>3395</v>
      </c>
      <c r="Q1282" s="81" t="s">
        <v>14530</v>
      </c>
      <c r="R1282" s="11">
        <v>26.001408000000001</v>
      </c>
      <c r="S1282" s="11">
        <v>-80.911242999999999</v>
      </c>
      <c r="T1282" s="11" t="s">
        <v>15043</v>
      </c>
      <c r="U1282" s="11" t="s">
        <v>15044</v>
      </c>
      <c r="V1282" s="17" t="s">
        <v>14533</v>
      </c>
      <c r="W1282" s="17"/>
      <c r="X1282" s="70"/>
      <c r="Y1282" s="70"/>
      <c r="Z1282" s="13">
        <v>40808</v>
      </c>
      <c r="AA1282" s="13"/>
      <c r="AB1282" s="13"/>
      <c r="AC1282" s="13">
        <v>40844</v>
      </c>
      <c r="AD1282" s="86"/>
      <c r="AE1282" s="86">
        <v>12115</v>
      </c>
      <c r="AF1282" s="70" t="s">
        <v>15056</v>
      </c>
      <c r="AG1282" s="17" t="s">
        <v>15046</v>
      </c>
      <c r="AH1282" s="17" t="s">
        <v>15047</v>
      </c>
      <c r="AI1282" s="70" t="s">
        <v>86</v>
      </c>
      <c r="AJ1282" s="17" t="s">
        <v>86</v>
      </c>
      <c r="AK1282" s="17"/>
      <c r="AL1282" s="17"/>
      <c r="AM1282" s="17"/>
      <c r="AN1282" s="17"/>
      <c r="AO1282" s="17"/>
      <c r="AP1282" s="17"/>
      <c r="AQ1282" s="17"/>
      <c r="AR1282" s="17"/>
      <c r="AS1282" s="17" t="s">
        <v>15057</v>
      </c>
      <c r="AT1282" s="17"/>
      <c r="AU1282" s="30" t="s">
        <v>15058</v>
      </c>
      <c r="AV1282" s="14"/>
      <c r="AW1282" s="74">
        <v>306479</v>
      </c>
      <c r="AX1282" s="1"/>
      <c r="AY1282" s="17" t="s">
        <v>101</v>
      </c>
    </row>
    <row r="1283" spans="1:51" ht="15" customHeight="1" x14ac:dyDescent="0.25">
      <c r="A1283" s="5">
        <v>1216</v>
      </c>
      <c r="B1283" s="9">
        <v>1216</v>
      </c>
      <c r="C1283" s="9" t="s">
        <v>15059</v>
      </c>
      <c r="D1283" s="57" t="str">
        <f>HYPERLINK("http://prodenv.dep.state.fl.us/DepNexus/public/electronic-documents/OG_1216/facility!search","OG_1216_Docs")</f>
        <v>OG_1216_Docs</v>
      </c>
      <c r="E1283" s="57" t="str">
        <f>HYPERLINK("https://ca.dep.state.fl.us/mapdirect/?focus=oilandgas&amp;zoom=query&amp;querytype=oilandgas&amp;queryvalues=OG_1216","OG_1216_Map")</f>
        <v>OG_1216_Map</v>
      </c>
      <c r="F1283" s="1" t="s">
        <v>265</v>
      </c>
      <c r="G1283" s="1" t="s">
        <v>79</v>
      </c>
      <c r="H1283" s="1" t="s">
        <v>14466</v>
      </c>
      <c r="I1283" s="1" t="s">
        <v>9718</v>
      </c>
      <c r="J1283" s="17" t="s">
        <v>82</v>
      </c>
      <c r="K1283" s="17" t="s">
        <v>83</v>
      </c>
      <c r="L1283" s="17"/>
      <c r="M1283" s="17" t="s">
        <v>101</v>
      </c>
      <c r="N1283" s="52" t="s">
        <v>15060</v>
      </c>
      <c r="O1283" s="17" t="s">
        <v>270</v>
      </c>
      <c r="P1283" s="17" t="s">
        <v>86</v>
      </c>
      <c r="Q1283" s="81" t="s">
        <v>9719</v>
      </c>
      <c r="R1283" s="11">
        <v>26.123290000000001</v>
      </c>
      <c r="S1283" s="11">
        <v>-81.067144999999996</v>
      </c>
      <c r="T1283" s="11" t="s">
        <v>15061</v>
      </c>
      <c r="U1283" s="11" t="s">
        <v>15062</v>
      </c>
      <c r="V1283" s="17" t="s">
        <v>15063</v>
      </c>
      <c r="W1283" s="17" t="s">
        <v>15064</v>
      </c>
      <c r="X1283" s="70">
        <v>36</v>
      </c>
      <c r="Y1283" s="70">
        <v>13</v>
      </c>
      <c r="Z1283" s="13">
        <v>31853</v>
      </c>
      <c r="AA1283" s="13">
        <v>32253</v>
      </c>
      <c r="AB1283" s="13"/>
      <c r="AC1283" s="13">
        <v>32290</v>
      </c>
      <c r="AD1283" s="86">
        <v>11755</v>
      </c>
      <c r="AE1283" s="86">
        <v>11755</v>
      </c>
      <c r="AF1283" s="70" t="s">
        <v>9411</v>
      </c>
      <c r="AG1283" s="17" t="s">
        <v>15065</v>
      </c>
      <c r="AH1283" s="17" t="s">
        <v>15066</v>
      </c>
      <c r="AI1283" s="70" t="s">
        <v>86</v>
      </c>
      <c r="AJ1283" s="17" t="s">
        <v>86</v>
      </c>
      <c r="AK1283" s="17" t="s">
        <v>95</v>
      </c>
      <c r="AL1283" s="17" t="s">
        <v>15067</v>
      </c>
      <c r="AM1283" s="17" t="s">
        <v>95</v>
      </c>
      <c r="AN1283" s="17" t="s">
        <v>86</v>
      </c>
      <c r="AO1283" s="17" t="s">
        <v>98</v>
      </c>
      <c r="AP1283" s="17" t="s">
        <v>98</v>
      </c>
      <c r="AQ1283" s="17" t="s">
        <v>98</v>
      </c>
      <c r="AR1283" s="17" t="s">
        <v>86</v>
      </c>
      <c r="AS1283" s="17" t="s">
        <v>15068</v>
      </c>
      <c r="AT1283" s="17">
        <v>195</v>
      </c>
      <c r="AU1283" s="30" t="s">
        <v>15069</v>
      </c>
      <c r="AV1283" s="14">
        <v>16165</v>
      </c>
      <c r="AW1283" s="74"/>
      <c r="AX1283" s="1"/>
      <c r="AY1283" s="17" t="s">
        <v>101</v>
      </c>
    </row>
    <row r="1284" spans="1:51" ht="15" customHeight="1" x14ac:dyDescent="0.25">
      <c r="A1284" s="5">
        <v>1217</v>
      </c>
      <c r="B1284" s="9">
        <v>1217</v>
      </c>
      <c r="C1284" s="9" t="s">
        <v>15070</v>
      </c>
      <c r="D1284" s="57" t="str">
        <f>HYPERLINK("http://prodenv.dep.state.fl.us/DepNexus/public/electronic-documents/OG_1217/facility!search","OG_1217_Docs")</f>
        <v>OG_1217_Docs</v>
      </c>
      <c r="E1284" s="57" t="str">
        <f>HYPERLINK("https://ca.dep.state.fl.us/mapdirect/?focus=oilandgas&amp;zoom=query&amp;querytype=oilandgas&amp;queryvalues=OG_1217","OG_1217_Map")</f>
        <v>OG_1217_Map</v>
      </c>
      <c r="F1284" s="1" t="s">
        <v>265</v>
      </c>
      <c r="G1284" s="1" t="s">
        <v>79</v>
      </c>
      <c r="H1284" s="1" t="s">
        <v>14466</v>
      </c>
      <c r="I1284" s="1" t="s">
        <v>15071</v>
      </c>
      <c r="J1284" s="17" t="s">
        <v>82</v>
      </c>
      <c r="K1284" s="17" t="s">
        <v>83</v>
      </c>
      <c r="L1284" s="17"/>
      <c r="M1284" s="17"/>
      <c r="N1284" s="52" t="s">
        <v>15072</v>
      </c>
      <c r="O1284" s="17" t="s">
        <v>270</v>
      </c>
      <c r="P1284" s="17" t="s">
        <v>86</v>
      </c>
      <c r="Q1284" s="81" t="s">
        <v>15073</v>
      </c>
      <c r="R1284" s="11">
        <v>26.363078999999999</v>
      </c>
      <c r="S1284" s="11">
        <v>-81.444333999999998</v>
      </c>
      <c r="T1284" s="11" t="s">
        <v>15074</v>
      </c>
      <c r="U1284" s="11" t="s">
        <v>15075</v>
      </c>
      <c r="V1284" s="17" t="s">
        <v>15076</v>
      </c>
      <c r="W1284" s="17" t="s">
        <v>15077</v>
      </c>
      <c r="X1284" s="70">
        <v>46</v>
      </c>
      <c r="Y1284" s="70">
        <v>23</v>
      </c>
      <c r="Z1284" s="13">
        <v>31853</v>
      </c>
      <c r="AA1284" s="13">
        <v>32298</v>
      </c>
      <c r="AB1284" s="13"/>
      <c r="AC1284" s="13">
        <v>32333</v>
      </c>
      <c r="AD1284" s="86">
        <v>12000</v>
      </c>
      <c r="AE1284" s="86">
        <v>12000</v>
      </c>
      <c r="AF1284" s="70" t="s">
        <v>15078</v>
      </c>
      <c r="AG1284" s="17" t="s">
        <v>15079</v>
      </c>
      <c r="AH1284" s="17" t="s">
        <v>15080</v>
      </c>
      <c r="AI1284" s="70" t="s">
        <v>86</v>
      </c>
      <c r="AJ1284" s="17" t="s">
        <v>86</v>
      </c>
      <c r="AK1284" s="17" t="s">
        <v>95</v>
      </c>
      <c r="AL1284" s="17" t="s">
        <v>15081</v>
      </c>
      <c r="AM1284" s="17" t="s">
        <v>95</v>
      </c>
      <c r="AN1284" s="17" t="s">
        <v>86</v>
      </c>
      <c r="AO1284" s="17" t="s">
        <v>98</v>
      </c>
      <c r="AP1284" s="17" t="s">
        <v>98</v>
      </c>
      <c r="AQ1284" s="17" t="s">
        <v>98</v>
      </c>
      <c r="AR1284" s="17" t="s">
        <v>94</v>
      </c>
      <c r="AS1284" s="17" t="s">
        <v>15082</v>
      </c>
      <c r="AT1284" s="17">
        <v>168</v>
      </c>
      <c r="AU1284" s="30" t="s">
        <v>15083</v>
      </c>
      <c r="AV1284" s="14">
        <v>16195</v>
      </c>
      <c r="AW1284" s="74"/>
      <c r="AX1284" s="1"/>
      <c r="AY1284" s="17" t="s">
        <v>101</v>
      </c>
    </row>
    <row r="1285" spans="1:51" ht="12.75" customHeight="1" x14ac:dyDescent="0.25">
      <c r="A1285" s="5">
        <v>1218</v>
      </c>
      <c r="B1285" s="9">
        <v>1218</v>
      </c>
      <c r="C1285" s="9" t="s">
        <v>15084</v>
      </c>
      <c r="D1285" s="57" t="str">
        <f>HYPERLINK("http://prodenv.dep.state.fl.us/DepNexus/public/electronic-documents/OG_1218/facility!search","OG_1218_Docs")</f>
        <v>OG_1218_Docs</v>
      </c>
      <c r="E1285" s="57" t="str">
        <f>HYPERLINK("https://ca.dep.state.fl.us/mapdirect/?focus=oilandgas&amp;zoom=query&amp;querytype=oilandgas&amp;queryvalues=OG_1218","OG_1218_Map")</f>
        <v>OG_1218_Map</v>
      </c>
      <c r="F1285" s="1" t="s">
        <v>265</v>
      </c>
      <c r="G1285" s="1" t="s">
        <v>79</v>
      </c>
      <c r="H1285" s="1" t="s">
        <v>15085</v>
      </c>
      <c r="I1285" s="1" t="s">
        <v>15086</v>
      </c>
      <c r="J1285" s="17" t="s">
        <v>207</v>
      </c>
      <c r="K1285" s="17" t="s">
        <v>14534</v>
      </c>
      <c r="L1285" s="17"/>
      <c r="M1285" s="17" t="s">
        <v>207</v>
      </c>
      <c r="N1285" s="52" t="s">
        <v>207</v>
      </c>
      <c r="O1285" s="17" t="s">
        <v>86</v>
      </c>
      <c r="P1285" s="17" t="s">
        <v>86</v>
      </c>
      <c r="Q1285" s="81" t="s">
        <v>10712</v>
      </c>
      <c r="R1285" s="11">
        <v>26.441210000000002</v>
      </c>
      <c r="S1285" s="11">
        <v>-81.525093999999996</v>
      </c>
      <c r="T1285" s="11" t="s">
        <v>15087</v>
      </c>
      <c r="U1285" s="11" t="s">
        <v>15088</v>
      </c>
      <c r="V1285" s="17" t="s">
        <v>14882</v>
      </c>
      <c r="W1285" s="17" t="s">
        <v>15089</v>
      </c>
      <c r="X1285" s="70"/>
      <c r="Y1285" s="70"/>
      <c r="Z1285" s="13"/>
      <c r="AA1285" s="13"/>
      <c r="AB1285" s="13"/>
      <c r="AC1285" s="13"/>
      <c r="AD1285" s="86"/>
      <c r="AE1285" s="86"/>
      <c r="AF1285" s="70" t="s">
        <v>207</v>
      </c>
      <c r="AG1285" s="13" t="s">
        <v>207</v>
      </c>
      <c r="AH1285" s="13" t="s">
        <v>207</v>
      </c>
      <c r="AI1285" s="70" t="s">
        <v>207</v>
      </c>
      <c r="AJ1285" s="13" t="s">
        <v>207</v>
      </c>
      <c r="AK1285" s="13" t="s">
        <v>207</v>
      </c>
      <c r="AL1285" s="13" t="s">
        <v>207</v>
      </c>
      <c r="AM1285" s="13" t="s">
        <v>207</v>
      </c>
      <c r="AN1285" s="13" t="s">
        <v>207</v>
      </c>
      <c r="AO1285" s="13" t="s">
        <v>207</v>
      </c>
      <c r="AP1285" s="13" t="s">
        <v>207</v>
      </c>
      <c r="AQ1285" s="13" t="s">
        <v>207</v>
      </c>
      <c r="AR1285" s="13" t="s">
        <v>207</v>
      </c>
      <c r="AS1285" s="13" t="s">
        <v>207</v>
      </c>
      <c r="AT1285" s="13" t="s">
        <v>207</v>
      </c>
      <c r="AU1285" s="30" t="s">
        <v>1843</v>
      </c>
      <c r="AV1285" s="14" t="s">
        <v>207</v>
      </c>
      <c r="AW1285" s="74"/>
      <c r="AX1285" s="17" t="s">
        <v>14534</v>
      </c>
      <c r="AY1285" s="17" t="s">
        <v>101</v>
      </c>
    </row>
    <row r="1286" spans="1:51" ht="12.75" customHeight="1" x14ac:dyDescent="0.25">
      <c r="A1286" s="5">
        <v>1219</v>
      </c>
      <c r="B1286" s="9">
        <v>1219</v>
      </c>
      <c r="C1286" s="9" t="s">
        <v>15090</v>
      </c>
      <c r="D1286" s="57" t="str">
        <f>HYPERLINK("http://prodenv.dep.state.fl.us/DepNexus/public/electronic-documents/OG_1219/facility!search","OG_1219_Docs")</f>
        <v>OG_1219_Docs</v>
      </c>
      <c r="E1286" s="57" t="str">
        <f>HYPERLINK("https://ca.dep.state.fl.us/mapdirect/?focus=oilandgas&amp;zoom=query&amp;querytype=oilandgas&amp;queryvalues=OG_1219","OG_1219_Map")</f>
        <v>OG_1219_Map</v>
      </c>
      <c r="F1286" s="1" t="s">
        <v>1797</v>
      </c>
      <c r="G1286" s="1" t="s">
        <v>1798</v>
      </c>
      <c r="H1286" s="1" t="s">
        <v>15091</v>
      </c>
      <c r="I1286" s="1" t="s">
        <v>15092</v>
      </c>
      <c r="J1286" s="17" t="s">
        <v>1476</v>
      </c>
      <c r="K1286" s="17" t="s">
        <v>412</v>
      </c>
      <c r="L1286" s="17"/>
      <c r="M1286" s="17"/>
      <c r="N1286" s="52" t="s">
        <v>86</v>
      </c>
      <c r="O1286" s="17" t="s">
        <v>86</v>
      </c>
      <c r="P1286" s="17" t="s">
        <v>86</v>
      </c>
      <c r="Q1286" s="81" t="s">
        <v>8496</v>
      </c>
      <c r="R1286" s="11">
        <v>30.990221999999999</v>
      </c>
      <c r="S1286" s="11">
        <v>-87.129093999999995</v>
      </c>
      <c r="T1286" s="11" t="s">
        <v>15093</v>
      </c>
      <c r="U1286" s="11" t="s">
        <v>15094</v>
      </c>
      <c r="V1286" s="17" t="s">
        <v>8499</v>
      </c>
      <c r="W1286" s="17" t="s">
        <v>15095</v>
      </c>
      <c r="X1286" s="70">
        <v>210</v>
      </c>
      <c r="Y1286" s="70">
        <v>200</v>
      </c>
      <c r="Z1286" s="13">
        <v>31869</v>
      </c>
      <c r="AA1286" s="13">
        <v>31889</v>
      </c>
      <c r="AB1286" s="13"/>
      <c r="AC1286" s="13">
        <v>32905</v>
      </c>
      <c r="AD1286" s="86">
        <v>15022</v>
      </c>
      <c r="AE1286" s="86">
        <v>15022</v>
      </c>
      <c r="AF1286" s="70" t="s">
        <v>15096</v>
      </c>
      <c r="AG1286" s="17" t="s">
        <v>15097</v>
      </c>
      <c r="AH1286" s="17" t="s">
        <v>15098</v>
      </c>
      <c r="AI1286" s="70" t="s">
        <v>94</v>
      </c>
      <c r="AJ1286" s="17" t="s">
        <v>15099</v>
      </c>
      <c r="AK1286" s="17" t="s">
        <v>825</v>
      </c>
      <c r="AL1286" s="17" t="s">
        <v>86</v>
      </c>
      <c r="AM1286" s="17" t="s">
        <v>825</v>
      </c>
      <c r="AN1286" s="17" t="s">
        <v>86</v>
      </c>
      <c r="AO1286" s="17" t="s">
        <v>98</v>
      </c>
      <c r="AP1286" s="17" t="s">
        <v>98</v>
      </c>
      <c r="AQ1286" s="17" t="s">
        <v>98</v>
      </c>
      <c r="AR1286" s="17" t="s">
        <v>94</v>
      </c>
      <c r="AS1286" s="17" t="s">
        <v>15100</v>
      </c>
      <c r="AT1286" s="17" t="s">
        <v>94</v>
      </c>
      <c r="AU1286" s="30" t="s">
        <v>8507</v>
      </c>
      <c r="AV1286" s="14">
        <v>11980</v>
      </c>
      <c r="AW1286" s="74"/>
      <c r="AX1286" s="1" t="s">
        <v>15101</v>
      </c>
      <c r="AY1286" s="17" t="s">
        <v>101</v>
      </c>
    </row>
    <row r="1287" spans="1:51" ht="12.75" customHeight="1" x14ac:dyDescent="0.25">
      <c r="A1287" s="5">
        <v>1220</v>
      </c>
      <c r="B1287" s="9">
        <v>1220</v>
      </c>
      <c r="C1287" s="9" t="s">
        <v>15102</v>
      </c>
      <c r="D1287" s="57" t="str">
        <f>HYPERLINK("http://prodenv.dep.state.fl.us/DepNexus/public/electronic-documents/OG_1220/facility!search","OG_1220_Docs")</f>
        <v>OG_1220_Docs</v>
      </c>
      <c r="E1287" s="57" t="str">
        <f>HYPERLINK("https://ca.dep.state.fl.us/mapdirect/?focus=oilandgas&amp;zoom=query&amp;querytype=oilandgas&amp;queryvalues=OG_1220","OG_1220_Map")</f>
        <v>OG_1220_Map</v>
      </c>
      <c r="F1287" s="1" t="s">
        <v>1797</v>
      </c>
      <c r="G1287" s="1" t="s">
        <v>15103</v>
      </c>
      <c r="H1287" s="1" t="s">
        <v>15104</v>
      </c>
      <c r="I1287" s="1" t="s">
        <v>15105</v>
      </c>
      <c r="J1287" s="17" t="s">
        <v>268</v>
      </c>
      <c r="K1287" s="17" t="s">
        <v>412</v>
      </c>
      <c r="L1287" s="17"/>
      <c r="M1287" s="17" t="s">
        <v>101</v>
      </c>
      <c r="N1287" s="52" t="s">
        <v>15106</v>
      </c>
      <c r="O1287" s="17" t="s">
        <v>86</v>
      </c>
      <c r="P1287" s="17" t="s">
        <v>86</v>
      </c>
      <c r="Q1287" s="81" t="s">
        <v>9195</v>
      </c>
      <c r="R1287" s="11">
        <v>30.9314</v>
      </c>
      <c r="S1287" s="11">
        <v>-87.098799999999997</v>
      </c>
      <c r="T1287" s="11" t="s">
        <v>15107</v>
      </c>
      <c r="U1287" s="11" t="s">
        <v>15108</v>
      </c>
      <c r="V1287" s="17" t="s">
        <v>15109</v>
      </c>
      <c r="W1287" s="17" t="s">
        <v>15110</v>
      </c>
      <c r="X1287" s="70">
        <v>164</v>
      </c>
      <c r="Y1287" s="70">
        <v>145</v>
      </c>
      <c r="Z1287" s="13">
        <v>31882</v>
      </c>
      <c r="AA1287" s="13">
        <v>31894</v>
      </c>
      <c r="AB1287" s="13">
        <v>31921</v>
      </c>
      <c r="AC1287" s="13">
        <v>35241</v>
      </c>
      <c r="AD1287" s="86">
        <v>15400</v>
      </c>
      <c r="AE1287" s="86">
        <v>15400</v>
      </c>
      <c r="AF1287" s="70" t="s">
        <v>11383</v>
      </c>
      <c r="AG1287" s="17" t="s">
        <v>15111</v>
      </c>
      <c r="AH1287" s="17" t="s">
        <v>86</v>
      </c>
      <c r="AI1287" s="70" t="s">
        <v>15112</v>
      </c>
      <c r="AJ1287" s="17" t="s">
        <v>15113</v>
      </c>
      <c r="AK1287" s="17" t="s">
        <v>825</v>
      </c>
      <c r="AL1287" s="17" t="s">
        <v>86</v>
      </c>
      <c r="AM1287" s="17" t="s">
        <v>825</v>
      </c>
      <c r="AN1287" s="17" t="s">
        <v>86</v>
      </c>
      <c r="AO1287" s="17" t="s">
        <v>15114</v>
      </c>
      <c r="AP1287" s="17" t="s">
        <v>15115</v>
      </c>
      <c r="AQ1287" s="17" t="s">
        <v>15116</v>
      </c>
      <c r="AR1287" s="17" t="s">
        <v>15117</v>
      </c>
      <c r="AS1287" s="17" t="s">
        <v>15118</v>
      </c>
      <c r="AT1287" s="17">
        <v>255</v>
      </c>
      <c r="AU1287" s="30" t="s">
        <v>14526</v>
      </c>
      <c r="AV1287" s="14" t="s">
        <v>94</v>
      </c>
      <c r="AW1287" s="74"/>
      <c r="AX1287" s="38" t="s">
        <v>15119</v>
      </c>
      <c r="AY1287" s="17" t="s">
        <v>101</v>
      </c>
    </row>
    <row r="1288" spans="1:51" ht="12.75" customHeight="1" x14ac:dyDescent="0.25">
      <c r="A1288" s="5">
        <v>1221</v>
      </c>
      <c r="B1288" s="9">
        <v>1221</v>
      </c>
      <c r="C1288" s="9" t="s">
        <v>15120</v>
      </c>
      <c r="D1288" s="57" t="str">
        <f>HYPERLINK("http://prodenv.dep.state.fl.us/DepNexus/public/electronic-documents/OG_1221/facility!search","OG_1221_Docs")</f>
        <v>OG_1221_Docs</v>
      </c>
      <c r="E1288" s="57" t="str">
        <f>HYPERLINK("https://ca.dep.state.fl.us/mapdirect/?focus=oilandgas&amp;zoom=query&amp;querytype=oilandgas&amp;queryvalues=OG_1221","OG_1221_Map")</f>
        <v>OG_1221_Map</v>
      </c>
      <c r="F1288" s="1" t="s">
        <v>1797</v>
      </c>
      <c r="G1288" s="1" t="s">
        <v>1798</v>
      </c>
      <c r="H1288" s="1" t="s">
        <v>15121</v>
      </c>
      <c r="I1288" s="1" t="s">
        <v>15122</v>
      </c>
      <c r="J1288" s="17" t="s">
        <v>82</v>
      </c>
      <c r="K1288" s="17" t="s">
        <v>83</v>
      </c>
      <c r="L1288" s="17"/>
      <c r="M1288" s="17"/>
      <c r="N1288" s="52" t="s">
        <v>15123</v>
      </c>
      <c r="O1288" s="17" t="s">
        <v>86</v>
      </c>
      <c r="P1288" s="17" t="s">
        <v>86</v>
      </c>
      <c r="Q1288" s="81" t="s">
        <v>13345</v>
      </c>
      <c r="R1288" s="11">
        <v>30.996832000000001</v>
      </c>
      <c r="S1288" s="11">
        <v>-87.132975000000002</v>
      </c>
      <c r="T1288" s="11" t="s">
        <v>15124</v>
      </c>
      <c r="U1288" s="11" t="s">
        <v>15125</v>
      </c>
      <c r="V1288" s="17" t="s">
        <v>15126</v>
      </c>
      <c r="W1288" s="17" t="s">
        <v>15127</v>
      </c>
      <c r="X1288" s="70">
        <v>194</v>
      </c>
      <c r="Y1288" s="70">
        <v>166</v>
      </c>
      <c r="Z1288" s="13">
        <v>31911</v>
      </c>
      <c r="AA1288" s="13">
        <v>31922</v>
      </c>
      <c r="AB1288" s="13"/>
      <c r="AC1288" s="13">
        <v>31997</v>
      </c>
      <c r="AD1288" s="86">
        <v>15203</v>
      </c>
      <c r="AE1288" s="86"/>
      <c r="AF1288" s="70" t="s">
        <v>14420</v>
      </c>
      <c r="AG1288" s="17" t="s">
        <v>15128</v>
      </c>
      <c r="AH1288" s="17" t="s">
        <v>94</v>
      </c>
      <c r="AI1288" s="70" t="s">
        <v>94</v>
      </c>
      <c r="AJ1288" s="17" t="s">
        <v>94</v>
      </c>
      <c r="AK1288" s="17" t="s">
        <v>95</v>
      </c>
      <c r="AL1288" s="17" t="s">
        <v>825</v>
      </c>
      <c r="AM1288" s="17" t="s">
        <v>825</v>
      </c>
      <c r="AN1288" s="17" t="s">
        <v>86</v>
      </c>
      <c r="AO1288" s="17" t="s">
        <v>98</v>
      </c>
      <c r="AP1288" s="17" t="s">
        <v>98</v>
      </c>
      <c r="AQ1288" s="17" t="s">
        <v>98</v>
      </c>
      <c r="AR1288" s="17" t="s">
        <v>94</v>
      </c>
      <c r="AS1288" s="17" t="s">
        <v>15129</v>
      </c>
      <c r="AT1288" s="17">
        <v>253</v>
      </c>
      <c r="AU1288" s="30" t="s">
        <v>15130</v>
      </c>
      <c r="AV1288" s="14">
        <v>16124</v>
      </c>
      <c r="AW1288" s="74"/>
      <c r="AX1288" s="1"/>
      <c r="AY1288" s="17" t="s">
        <v>101</v>
      </c>
    </row>
    <row r="1289" spans="1:51" ht="15" customHeight="1" x14ac:dyDescent="0.25">
      <c r="A1289" s="5">
        <v>1222</v>
      </c>
      <c r="B1289" s="9">
        <v>1222</v>
      </c>
      <c r="C1289" s="9" t="s">
        <v>15131</v>
      </c>
      <c r="D1289" s="57" t="str">
        <f>HYPERLINK("http://prodenv.dep.state.fl.us/DepNexus/public/electronic-documents/OG_1222/facility!search","OG_1222_Docs")</f>
        <v>OG_1222_Docs</v>
      </c>
      <c r="E1289" s="57" t="str">
        <f>HYPERLINK("https://ca.dep.state.fl.us/mapdirect/?focus=oilandgas&amp;zoom=query&amp;querytype=oilandgas&amp;queryvalues=OG_1222","OG_1222_Map")</f>
        <v>OG_1222_Map</v>
      </c>
      <c r="F1289" s="1" t="s">
        <v>265</v>
      </c>
      <c r="G1289" s="1" t="s">
        <v>79</v>
      </c>
      <c r="H1289" s="1" t="s">
        <v>5098</v>
      </c>
      <c r="I1289" s="1" t="s">
        <v>15132</v>
      </c>
      <c r="J1289" s="17" t="s">
        <v>82</v>
      </c>
      <c r="K1289" s="17" t="s">
        <v>83</v>
      </c>
      <c r="L1289" s="17"/>
      <c r="M1289" s="17"/>
      <c r="N1289" s="52" t="s">
        <v>15133</v>
      </c>
      <c r="O1289" s="17" t="s">
        <v>270</v>
      </c>
      <c r="P1289" s="17" t="s">
        <v>86</v>
      </c>
      <c r="Q1289" s="81" t="s">
        <v>15134</v>
      </c>
      <c r="R1289" s="11">
        <v>26.364581000000001</v>
      </c>
      <c r="S1289" s="11">
        <v>-81.396460000000005</v>
      </c>
      <c r="T1289" s="11" t="s">
        <v>15135</v>
      </c>
      <c r="U1289" s="11" t="s">
        <v>15136</v>
      </c>
      <c r="V1289" s="17" t="s">
        <v>15137</v>
      </c>
      <c r="W1289" s="17" t="s">
        <v>15138</v>
      </c>
      <c r="X1289" s="70">
        <v>45</v>
      </c>
      <c r="Y1289" s="70">
        <v>24</v>
      </c>
      <c r="Z1289" s="13">
        <v>31930</v>
      </c>
      <c r="AA1289" s="13">
        <v>32021</v>
      </c>
      <c r="AB1289" s="13"/>
      <c r="AC1289" s="13">
        <v>32059</v>
      </c>
      <c r="AD1289" s="86">
        <v>12000</v>
      </c>
      <c r="AE1289" s="86">
        <v>12000</v>
      </c>
      <c r="AF1289" s="70" t="s">
        <v>15139</v>
      </c>
      <c r="AG1289" s="17" t="s">
        <v>15140</v>
      </c>
      <c r="AH1289" s="17" t="s">
        <v>15141</v>
      </c>
      <c r="AI1289" s="70" t="s">
        <v>94</v>
      </c>
      <c r="AJ1289" s="17" t="s">
        <v>94</v>
      </c>
      <c r="AK1289" s="17" t="s">
        <v>95</v>
      </c>
      <c r="AL1289" s="17" t="s">
        <v>15142</v>
      </c>
      <c r="AM1289" s="17" t="s">
        <v>825</v>
      </c>
      <c r="AN1289" s="17" t="s">
        <v>86</v>
      </c>
      <c r="AO1289" s="17" t="s">
        <v>98</v>
      </c>
      <c r="AP1289" s="17" t="s">
        <v>98</v>
      </c>
      <c r="AQ1289" s="17" t="s">
        <v>98</v>
      </c>
      <c r="AR1289" s="17" t="s">
        <v>94</v>
      </c>
      <c r="AS1289" s="17" t="s">
        <v>15143</v>
      </c>
      <c r="AT1289" s="17">
        <v>172</v>
      </c>
      <c r="AU1289" s="30" t="s">
        <v>15144</v>
      </c>
      <c r="AV1289" s="14">
        <v>16049</v>
      </c>
      <c r="AW1289" s="74"/>
      <c r="AX1289" s="1"/>
      <c r="AY1289" s="17" t="s">
        <v>101</v>
      </c>
    </row>
    <row r="1290" spans="1:51" ht="12.75" customHeight="1" x14ac:dyDescent="0.25">
      <c r="A1290" s="5">
        <v>1223</v>
      </c>
      <c r="B1290" s="9">
        <v>1223</v>
      </c>
      <c r="C1290" s="9" t="s">
        <v>15145</v>
      </c>
      <c r="D1290" s="57" t="str">
        <f>HYPERLINK("http://prodenv.dep.state.fl.us/DepNexus/public/electronic-documents/OG_1223/facility!search","OG_1223_Docs")</f>
        <v>OG_1223_Docs</v>
      </c>
      <c r="E1290" s="57" t="str">
        <f>HYPERLINK("https://ca.dep.state.fl.us/mapdirect/?focus=oilandgas&amp;zoom=query&amp;querytype=oilandgas&amp;queryvalues=OG_1223","OG_1223_Map")</f>
        <v>OG_1223_Map</v>
      </c>
      <c r="F1290" s="1" t="s">
        <v>265</v>
      </c>
      <c r="G1290" s="1" t="s">
        <v>14480</v>
      </c>
      <c r="H1290" s="1" t="s">
        <v>15146</v>
      </c>
      <c r="I1290" s="1" t="s">
        <v>15147</v>
      </c>
      <c r="J1290" s="17" t="s">
        <v>207</v>
      </c>
      <c r="K1290" s="17" t="s">
        <v>208</v>
      </c>
      <c r="L1290" s="17"/>
      <c r="M1290" s="17" t="s">
        <v>207</v>
      </c>
      <c r="N1290" s="52" t="s">
        <v>86</v>
      </c>
      <c r="O1290" s="17" t="s">
        <v>86</v>
      </c>
      <c r="P1290" s="17" t="s">
        <v>86</v>
      </c>
      <c r="Q1290" s="81" t="s">
        <v>15148</v>
      </c>
      <c r="R1290" s="11">
        <v>26.447669000000001</v>
      </c>
      <c r="S1290" s="11">
        <v>-81.558504999999997</v>
      </c>
      <c r="T1290" s="11" t="s">
        <v>15149</v>
      </c>
      <c r="U1290" s="11" t="s">
        <v>15150</v>
      </c>
      <c r="V1290" s="17" t="s">
        <v>15151</v>
      </c>
      <c r="W1290" s="17" t="s">
        <v>15152</v>
      </c>
      <c r="X1290" s="70"/>
      <c r="Y1290" s="70"/>
      <c r="Z1290" s="13">
        <v>31950</v>
      </c>
      <c r="AA1290" s="13"/>
      <c r="AB1290" s="13"/>
      <c r="AC1290" s="13"/>
      <c r="AD1290" s="86"/>
      <c r="AE1290" s="86"/>
      <c r="AF1290" s="70" t="s">
        <v>207</v>
      </c>
      <c r="AG1290" s="14" t="s">
        <v>207</v>
      </c>
      <c r="AH1290" s="14" t="s">
        <v>207</v>
      </c>
      <c r="AI1290" s="70" t="s">
        <v>207</v>
      </c>
      <c r="AJ1290" s="14" t="s">
        <v>207</v>
      </c>
      <c r="AK1290" s="14" t="s">
        <v>207</v>
      </c>
      <c r="AL1290" s="14" t="s">
        <v>207</v>
      </c>
      <c r="AM1290" s="14" t="s">
        <v>207</v>
      </c>
      <c r="AN1290" s="14" t="s">
        <v>207</v>
      </c>
      <c r="AO1290" s="14" t="s">
        <v>207</v>
      </c>
      <c r="AP1290" s="14" t="s">
        <v>207</v>
      </c>
      <c r="AQ1290" s="14" t="s">
        <v>207</v>
      </c>
      <c r="AR1290" s="14" t="s">
        <v>207</v>
      </c>
      <c r="AS1290" s="14" t="s">
        <v>207</v>
      </c>
      <c r="AT1290" s="14" t="s">
        <v>207</v>
      </c>
      <c r="AU1290" s="30" t="s">
        <v>1843</v>
      </c>
      <c r="AV1290" s="14" t="s">
        <v>207</v>
      </c>
      <c r="AW1290" s="74"/>
      <c r="AX1290" s="1"/>
      <c r="AY1290" s="17" t="s">
        <v>101</v>
      </c>
    </row>
    <row r="1291" spans="1:51" ht="12.75" customHeight="1" x14ac:dyDescent="0.25">
      <c r="A1291" s="5">
        <v>1224</v>
      </c>
      <c r="B1291" s="9">
        <v>1224</v>
      </c>
      <c r="C1291" s="9" t="s">
        <v>15153</v>
      </c>
      <c r="D1291" s="57" t="str">
        <f>HYPERLINK("http://prodenv.dep.state.fl.us/DepNexus/public/electronic-documents/OG_1224/facility!search","OG_1224_Docs")</f>
        <v>OG_1224_Docs</v>
      </c>
      <c r="E1291" s="57" t="str">
        <f>HYPERLINK("https://ca.dep.state.fl.us/mapdirect/?focus=oilandgas&amp;zoom=query&amp;querytype=oilandgas&amp;queryvalues=OG_1224","OG_1224_Map")</f>
        <v>OG_1224_Map</v>
      </c>
      <c r="F1291" s="1" t="s">
        <v>265</v>
      </c>
      <c r="G1291" s="1" t="s">
        <v>14480</v>
      </c>
      <c r="H1291" s="1" t="s">
        <v>15154</v>
      </c>
      <c r="I1291" s="1" t="s">
        <v>15155</v>
      </c>
      <c r="J1291" s="17" t="s">
        <v>82</v>
      </c>
      <c r="K1291" s="17" t="s">
        <v>15156</v>
      </c>
      <c r="L1291" s="17"/>
      <c r="M1291" s="17"/>
      <c r="N1291" s="52" t="s">
        <v>15157</v>
      </c>
      <c r="O1291" s="17" t="s">
        <v>86</v>
      </c>
      <c r="P1291" s="17" t="s">
        <v>86</v>
      </c>
      <c r="Q1291" s="81" t="s">
        <v>15158</v>
      </c>
      <c r="R1291" s="11">
        <v>26.449862</v>
      </c>
      <c r="S1291" s="11">
        <v>-81.543564000000003</v>
      </c>
      <c r="T1291" s="11" t="s">
        <v>15159</v>
      </c>
      <c r="U1291" s="11" t="s">
        <v>15160</v>
      </c>
      <c r="V1291" s="17" t="s">
        <v>15161</v>
      </c>
      <c r="W1291" s="23" t="s">
        <v>110</v>
      </c>
      <c r="X1291" s="70">
        <v>44</v>
      </c>
      <c r="Y1291" s="70">
        <v>22</v>
      </c>
      <c r="Z1291" s="13">
        <v>31985</v>
      </c>
      <c r="AA1291" s="13">
        <v>32038</v>
      </c>
      <c r="AB1291" s="13"/>
      <c r="AC1291" s="13">
        <v>32080</v>
      </c>
      <c r="AD1291" s="86">
        <v>11852</v>
      </c>
      <c r="AE1291" s="86">
        <v>11852</v>
      </c>
      <c r="AF1291" s="70" t="s">
        <v>15162</v>
      </c>
      <c r="AG1291" s="17" t="s">
        <v>15163</v>
      </c>
      <c r="AH1291" s="17" t="s">
        <v>15164</v>
      </c>
      <c r="AI1291" s="70" t="s">
        <v>86</v>
      </c>
      <c r="AJ1291" s="17" t="s">
        <v>86</v>
      </c>
      <c r="AK1291" s="17" t="s">
        <v>95</v>
      </c>
      <c r="AL1291" s="17" t="s">
        <v>825</v>
      </c>
      <c r="AM1291" s="17" t="s">
        <v>825</v>
      </c>
      <c r="AN1291" s="17" t="s">
        <v>15165</v>
      </c>
      <c r="AO1291" s="17" t="s">
        <v>98</v>
      </c>
      <c r="AP1291" s="17" t="s">
        <v>98</v>
      </c>
      <c r="AQ1291" s="17" t="s">
        <v>98</v>
      </c>
      <c r="AR1291" s="17" t="s">
        <v>94</v>
      </c>
      <c r="AS1291" s="17" t="s">
        <v>15166</v>
      </c>
      <c r="AT1291" s="17">
        <v>178</v>
      </c>
      <c r="AU1291" s="30" t="s">
        <v>15167</v>
      </c>
      <c r="AV1291" s="14">
        <v>16056</v>
      </c>
      <c r="AW1291" s="74"/>
      <c r="AX1291" s="1"/>
      <c r="AY1291" s="17" t="s">
        <v>101</v>
      </c>
    </row>
    <row r="1292" spans="1:51" ht="12.75" customHeight="1" x14ac:dyDescent="0.25">
      <c r="A1292" s="5">
        <v>1224.0999999999999</v>
      </c>
      <c r="B1292" s="9" t="s">
        <v>15168</v>
      </c>
      <c r="C1292" s="9" t="s">
        <v>15153</v>
      </c>
      <c r="D1292" s="57" t="str">
        <f>HYPERLINK("http://prodenv.dep.state.fl.us/DepNexus/public/electronic-documents/OG_1224/facility!search","OG_1224_Docs")</f>
        <v>OG_1224_Docs</v>
      </c>
      <c r="E1292" s="57" t="str">
        <f>HYPERLINK("https://ca.dep.state.fl.us/mapdirect/?focus=oilandgas&amp;zoom=query&amp;querytype=oilandgas&amp;queryvalues=OG_1224","OG_1224_Map")</f>
        <v>OG_1224_Map</v>
      </c>
      <c r="F1292" s="1" t="s">
        <v>265</v>
      </c>
      <c r="G1292" s="1" t="s">
        <v>14480</v>
      </c>
      <c r="H1292" s="1" t="s">
        <v>15146</v>
      </c>
      <c r="I1292" s="1" t="s">
        <v>15169</v>
      </c>
      <c r="J1292" s="17" t="s">
        <v>82</v>
      </c>
      <c r="K1292" s="17" t="s">
        <v>15156</v>
      </c>
      <c r="L1292" s="17"/>
      <c r="M1292" s="17"/>
      <c r="N1292" s="52" t="s">
        <v>15170</v>
      </c>
      <c r="O1292" s="17" t="s">
        <v>86</v>
      </c>
      <c r="P1292" s="17" t="s">
        <v>86</v>
      </c>
      <c r="Q1292" s="81" t="s">
        <v>15158</v>
      </c>
      <c r="R1292" s="11">
        <v>26.449862</v>
      </c>
      <c r="S1292" s="11">
        <v>-81.543564000000003</v>
      </c>
      <c r="T1292" s="11" t="s">
        <v>15159</v>
      </c>
      <c r="U1292" s="11" t="s">
        <v>15160</v>
      </c>
      <c r="V1292" s="17" t="s">
        <v>15161</v>
      </c>
      <c r="W1292" s="17" t="s">
        <v>15171</v>
      </c>
      <c r="X1292" s="70">
        <v>41</v>
      </c>
      <c r="Y1292" s="70">
        <v>22</v>
      </c>
      <c r="Z1292" s="13">
        <v>31985</v>
      </c>
      <c r="AA1292" s="13">
        <v>37521</v>
      </c>
      <c r="AB1292" s="13"/>
      <c r="AC1292" s="13">
        <v>37543</v>
      </c>
      <c r="AD1292" s="86">
        <v>11773</v>
      </c>
      <c r="AE1292" s="86">
        <v>12492</v>
      </c>
      <c r="AF1292" s="70" t="s">
        <v>15162</v>
      </c>
      <c r="AG1292" s="17" t="s">
        <v>15163</v>
      </c>
      <c r="AH1292" s="17" t="s">
        <v>15164</v>
      </c>
      <c r="AI1292" s="70" t="s">
        <v>86</v>
      </c>
      <c r="AJ1292" s="17" t="s">
        <v>86</v>
      </c>
      <c r="AK1292" s="17" t="s">
        <v>825</v>
      </c>
      <c r="AL1292" s="17" t="s">
        <v>825</v>
      </c>
      <c r="AM1292" s="17" t="s">
        <v>825</v>
      </c>
      <c r="AN1292" s="17" t="s">
        <v>94</v>
      </c>
      <c r="AO1292" s="17" t="s">
        <v>98</v>
      </c>
      <c r="AP1292" s="17" t="s">
        <v>98</v>
      </c>
      <c r="AQ1292" s="17" t="s">
        <v>98</v>
      </c>
      <c r="AR1292" s="17" t="s">
        <v>98</v>
      </c>
      <c r="AS1292" s="17" t="s">
        <v>15172</v>
      </c>
      <c r="AT1292" s="17"/>
      <c r="AU1292" s="30" t="s">
        <v>15173</v>
      </c>
      <c r="AV1292" s="14">
        <v>16056</v>
      </c>
      <c r="AW1292" s="74"/>
      <c r="AX1292" s="1"/>
      <c r="AY1292" s="17" t="s">
        <v>101</v>
      </c>
    </row>
    <row r="1293" spans="1:51" ht="12.75" customHeight="1" x14ac:dyDescent="0.25">
      <c r="A1293" s="5">
        <v>1224.3</v>
      </c>
      <c r="B1293" s="9" t="s">
        <v>15174</v>
      </c>
      <c r="C1293" s="9" t="s">
        <v>15153</v>
      </c>
      <c r="D1293" s="57" t="str">
        <f>HYPERLINK("http://prodenv.dep.state.fl.us/DepNexus/public/electronic-documents/OG_1224/facility!search","OG_1224_Docs")</f>
        <v>OG_1224_Docs</v>
      </c>
      <c r="E1293" s="57" t="str">
        <f>HYPERLINK("https://ca.dep.state.fl.us/mapdirect/?focus=oilandgas&amp;zoom=query&amp;querytype=oilandgas&amp;queryvalues=OG_1224","OG_1224_Map")</f>
        <v>OG_1224_Map</v>
      </c>
      <c r="F1293" s="1" t="s">
        <v>265</v>
      </c>
      <c r="G1293" s="1" t="s">
        <v>14480</v>
      </c>
      <c r="H1293" s="1" t="s">
        <v>15175</v>
      </c>
      <c r="I1293" s="1" t="s">
        <v>15176</v>
      </c>
      <c r="J1293" s="17" t="s">
        <v>268</v>
      </c>
      <c r="K1293" s="17" t="s">
        <v>15156</v>
      </c>
      <c r="L1293" s="17"/>
      <c r="M1293" s="17"/>
      <c r="N1293" s="52" t="s">
        <v>15177</v>
      </c>
      <c r="O1293" s="17" t="s">
        <v>86</v>
      </c>
      <c r="P1293" s="17" t="s">
        <v>86</v>
      </c>
      <c r="Q1293" s="81" t="s">
        <v>15158</v>
      </c>
      <c r="R1293" s="11">
        <v>26.449862</v>
      </c>
      <c r="S1293" s="11">
        <v>-81.543564000000003</v>
      </c>
      <c r="T1293" s="11" t="s">
        <v>15159</v>
      </c>
      <c r="U1293" s="11" t="s">
        <v>15160</v>
      </c>
      <c r="V1293" s="17" t="s">
        <v>15161</v>
      </c>
      <c r="W1293" s="17" t="s">
        <v>15178</v>
      </c>
      <c r="X1293" s="70">
        <v>41</v>
      </c>
      <c r="Y1293" s="70">
        <v>22</v>
      </c>
      <c r="Z1293" s="13">
        <v>31985</v>
      </c>
      <c r="AA1293" s="13">
        <v>37552</v>
      </c>
      <c r="AB1293" s="13">
        <v>37576</v>
      </c>
      <c r="AC1293" s="13"/>
      <c r="AD1293" s="86">
        <v>11582</v>
      </c>
      <c r="AE1293" s="86">
        <v>13307</v>
      </c>
      <c r="AF1293" s="70" t="s">
        <v>15162</v>
      </c>
      <c r="AG1293" s="17" t="s">
        <v>15163</v>
      </c>
      <c r="AH1293" s="17" t="s">
        <v>15164</v>
      </c>
      <c r="AI1293" s="70"/>
      <c r="AJ1293" s="17" t="s">
        <v>86</v>
      </c>
      <c r="AK1293" s="17" t="s">
        <v>825</v>
      </c>
      <c r="AL1293" s="17" t="s">
        <v>825</v>
      </c>
      <c r="AM1293" s="17" t="s">
        <v>94</v>
      </c>
      <c r="AN1293" s="17" t="s">
        <v>94</v>
      </c>
      <c r="AO1293" s="17" t="s">
        <v>98</v>
      </c>
      <c r="AP1293" s="17" t="s">
        <v>98</v>
      </c>
      <c r="AQ1293" s="17" t="s">
        <v>98</v>
      </c>
      <c r="AR1293" s="17" t="s">
        <v>98</v>
      </c>
      <c r="AS1293" s="17" t="s">
        <v>15179</v>
      </c>
      <c r="AT1293" s="17"/>
      <c r="AU1293" s="30" t="s">
        <v>15180</v>
      </c>
      <c r="AV1293" s="14">
        <v>16056</v>
      </c>
      <c r="AW1293" s="74">
        <v>315968</v>
      </c>
      <c r="AX1293" s="1"/>
      <c r="AY1293" s="17" t="s">
        <v>101</v>
      </c>
    </row>
    <row r="1294" spans="1:51" ht="12.75" customHeight="1" x14ac:dyDescent="0.25">
      <c r="A1294" s="5">
        <v>1225</v>
      </c>
      <c r="B1294" s="9">
        <v>1225</v>
      </c>
      <c r="C1294" s="9" t="s">
        <v>15181</v>
      </c>
      <c r="D1294" s="57" t="str">
        <f>HYPERLINK("http://prodenv.dep.state.fl.us/DepNexus/public/electronic-documents/OG_1225/facility!search","OG_1225_Docs")</f>
        <v>OG_1225_Docs</v>
      </c>
      <c r="E1294" s="57" t="str">
        <f>HYPERLINK("https://ca.dep.state.fl.us/mapdirect/?focus=oilandgas&amp;zoom=query&amp;querytype=oilandgas&amp;queryvalues=OG_1225","OG_1225_Map")</f>
        <v>OG_1225_Map</v>
      </c>
      <c r="F1294" s="1" t="s">
        <v>1797</v>
      </c>
      <c r="G1294" s="1" t="s">
        <v>1798</v>
      </c>
      <c r="H1294" s="1" t="s">
        <v>13393</v>
      </c>
      <c r="I1294" s="1" t="s">
        <v>15182</v>
      </c>
      <c r="J1294" s="17" t="s">
        <v>82</v>
      </c>
      <c r="K1294" s="17" t="s">
        <v>83</v>
      </c>
      <c r="L1294" s="17"/>
      <c r="M1294" s="17"/>
      <c r="N1294" s="52" t="s">
        <v>15183</v>
      </c>
      <c r="O1294" s="17" t="s">
        <v>86</v>
      </c>
      <c r="P1294" s="17" t="s">
        <v>86</v>
      </c>
      <c r="Q1294" s="81" t="s">
        <v>15184</v>
      </c>
      <c r="R1294" s="11">
        <v>30.985282000000002</v>
      </c>
      <c r="S1294" s="11">
        <v>-87.127505999999997</v>
      </c>
      <c r="T1294" s="11" t="s">
        <v>15185</v>
      </c>
      <c r="U1294" s="11" t="s">
        <v>15186</v>
      </c>
      <c r="V1294" s="17" t="s">
        <v>15187</v>
      </c>
      <c r="W1294" s="17" t="s">
        <v>15188</v>
      </c>
      <c r="X1294" s="70">
        <v>290</v>
      </c>
      <c r="Y1294" s="70">
        <v>225</v>
      </c>
      <c r="Z1294" s="13">
        <v>32863</v>
      </c>
      <c r="AA1294" s="13">
        <v>32953</v>
      </c>
      <c r="AB1294" s="13"/>
      <c r="AC1294" s="13">
        <v>32995</v>
      </c>
      <c r="AD1294" s="86">
        <v>15350</v>
      </c>
      <c r="AE1294" s="86"/>
      <c r="AF1294" s="70" t="s">
        <v>11383</v>
      </c>
      <c r="AG1294" s="17" t="s">
        <v>15189</v>
      </c>
      <c r="AH1294" s="17" t="s">
        <v>86</v>
      </c>
      <c r="AI1294" s="70" t="s">
        <v>86</v>
      </c>
      <c r="AJ1294" s="17" t="s">
        <v>86</v>
      </c>
      <c r="AK1294" s="17" t="s">
        <v>825</v>
      </c>
      <c r="AL1294" s="17" t="s">
        <v>825</v>
      </c>
      <c r="AM1294" s="17" t="s">
        <v>95</v>
      </c>
      <c r="AN1294" s="17" t="s">
        <v>86</v>
      </c>
      <c r="AO1294" s="17" t="s">
        <v>98</v>
      </c>
      <c r="AP1294" s="17" t="s">
        <v>98</v>
      </c>
      <c r="AQ1294" s="17" t="s">
        <v>98</v>
      </c>
      <c r="AR1294" s="17" t="s">
        <v>86</v>
      </c>
      <c r="AS1294" s="17" t="s">
        <v>15190</v>
      </c>
      <c r="AT1294" s="17">
        <v>267</v>
      </c>
      <c r="AU1294" s="30" t="s">
        <v>15191</v>
      </c>
      <c r="AV1294" s="14" t="s">
        <v>94</v>
      </c>
      <c r="AW1294" s="74"/>
      <c r="AX1294" s="1"/>
      <c r="AY1294" s="17" t="s">
        <v>101</v>
      </c>
    </row>
    <row r="1295" spans="1:51" ht="15" customHeight="1" x14ac:dyDescent="0.25">
      <c r="A1295" s="5">
        <v>1226</v>
      </c>
      <c r="B1295" s="9">
        <v>1226</v>
      </c>
      <c r="C1295" s="9" t="s">
        <v>15192</v>
      </c>
      <c r="D1295" s="57" t="str">
        <f>HYPERLINK("http://prodenv.dep.state.fl.us/DepNexus/public/electronic-documents/OG_1226/facility!search","OG_1226_Docs")</f>
        <v>OG_1226_Docs</v>
      </c>
      <c r="E1295" s="57" t="str">
        <f>HYPERLINK("https://ca.dep.state.fl.us/mapdirect/?focus=oilandgas&amp;zoom=query&amp;querytype=oilandgas&amp;queryvalues=OG_1226","OG_1226_Map")</f>
        <v>OG_1226_Map</v>
      </c>
      <c r="F1295" s="1" t="s">
        <v>1797</v>
      </c>
      <c r="G1295" s="1" t="s">
        <v>14779</v>
      </c>
      <c r="H1295" s="1" t="s">
        <v>15193</v>
      </c>
      <c r="I1295" s="1" t="s">
        <v>15194</v>
      </c>
      <c r="J1295" s="17" t="s">
        <v>268</v>
      </c>
      <c r="K1295" s="17" t="s">
        <v>269</v>
      </c>
      <c r="L1295" s="17"/>
      <c r="M1295" s="17" t="s">
        <v>101</v>
      </c>
      <c r="N1295" s="52" t="s">
        <v>15195</v>
      </c>
      <c r="O1295" s="17" t="s">
        <v>1962</v>
      </c>
      <c r="P1295" s="17" t="s">
        <v>86</v>
      </c>
      <c r="Q1295" s="81" t="s">
        <v>15196</v>
      </c>
      <c r="R1295" s="11">
        <v>30.991547000000001</v>
      </c>
      <c r="S1295" s="11">
        <v>-86.840371000000005</v>
      </c>
      <c r="T1295" s="11" t="s">
        <v>15197</v>
      </c>
      <c r="U1295" s="11" t="s">
        <v>15198</v>
      </c>
      <c r="V1295" s="17" t="s">
        <v>15199</v>
      </c>
      <c r="W1295" s="17" t="s">
        <v>15200</v>
      </c>
      <c r="X1295" s="70">
        <v>275</v>
      </c>
      <c r="Y1295" s="70">
        <v>249</v>
      </c>
      <c r="Z1295" s="13">
        <v>31993</v>
      </c>
      <c r="AA1295" s="13">
        <v>32042</v>
      </c>
      <c r="AB1295" s="13">
        <v>32186</v>
      </c>
      <c r="AC1295" s="13">
        <v>40946</v>
      </c>
      <c r="AD1295" s="86">
        <v>14205</v>
      </c>
      <c r="AE1295" s="86">
        <v>14205</v>
      </c>
      <c r="AF1295" s="70" t="s">
        <v>12169</v>
      </c>
      <c r="AG1295" s="17" t="s">
        <v>15201</v>
      </c>
      <c r="AH1295" s="17" t="s">
        <v>86</v>
      </c>
      <c r="AI1295" s="70" t="s">
        <v>15202</v>
      </c>
      <c r="AJ1295" s="17" t="s">
        <v>15203</v>
      </c>
      <c r="AK1295" s="17" t="s">
        <v>95</v>
      </c>
      <c r="AL1295" s="17" t="s">
        <v>15204</v>
      </c>
      <c r="AM1295" s="17" t="s">
        <v>825</v>
      </c>
      <c r="AN1295" s="17" t="s">
        <v>86</v>
      </c>
      <c r="AO1295" s="17" t="s">
        <v>15205</v>
      </c>
      <c r="AP1295" s="17" t="s">
        <v>15206</v>
      </c>
      <c r="AQ1295" s="17" t="s">
        <v>15207</v>
      </c>
      <c r="AR1295" s="17" t="s">
        <v>15208</v>
      </c>
      <c r="AS1295" s="17" t="s">
        <v>15209</v>
      </c>
      <c r="AT1295" s="17">
        <v>229</v>
      </c>
      <c r="AU1295" s="30" t="s">
        <v>15210</v>
      </c>
      <c r="AV1295" s="14">
        <v>16235</v>
      </c>
      <c r="AW1295" s="74"/>
      <c r="AX1295" s="1" t="s">
        <v>15211</v>
      </c>
      <c r="AY1295" s="17" t="s">
        <v>101</v>
      </c>
    </row>
    <row r="1296" spans="1:51" ht="12.75" customHeight="1" x14ac:dyDescent="0.25">
      <c r="A1296" s="5">
        <v>1227</v>
      </c>
      <c r="B1296" s="9">
        <v>1227</v>
      </c>
      <c r="C1296" s="9" t="s">
        <v>15212</v>
      </c>
      <c r="D1296" s="57" t="str">
        <f>HYPERLINK("http://prodenv.dep.state.fl.us/DepNexus/public/electronic-documents/OG_1227/facility!search","OG_1227_Docs")</f>
        <v>OG_1227_Docs</v>
      </c>
      <c r="E1296" s="57" t="str">
        <f>HYPERLINK("https://ca.dep.state.fl.us/mapdirect/?focus=oilandgas&amp;zoom=query&amp;querytype=oilandgas&amp;queryvalues=OG_1227","OG_1227_Map")</f>
        <v>OG_1227_Map</v>
      </c>
      <c r="F1296" s="1" t="s">
        <v>191</v>
      </c>
      <c r="G1296" s="1" t="s">
        <v>79</v>
      </c>
      <c r="H1296" s="1" t="s">
        <v>15213</v>
      </c>
      <c r="I1296" s="1" t="s">
        <v>15214</v>
      </c>
      <c r="J1296" s="17" t="s">
        <v>82</v>
      </c>
      <c r="K1296" s="17" t="s">
        <v>83</v>
      </c>
      <c r="L1296" s="17"/>
      <c r="M1296" s="17" t="s">
        <v>101</v>
      </c>
      <c r="N1296" s="52" t="s">
        <v>15215</v>
      </c>
      <c r="O1296" s="17" t="s">
        <v>86</v>
      </c>
      <c r="P1296" s="17" t="s">
        <v>86</v>
      </c>
      <c r="Q1296" s="81" t="s">
        <v>15216</v>
      </c>
      <c r="R1296" s="11">
        <v>29.935700000000001</v>
      </c>
      <c r="S1296" s="11">
        <v>-84.76558</v>
      </c>
      <c r="T1296" s="11" t="s">
        <v>15217</v>
      </c>
      <c r="U1296" s="11" t="s">
        <v>15218</v>
      </c>
      <c r="V1296" s="17" t="s">
        <v>15219</v>
      </c>
      <c r="W1296" s="17" t="s">
        <v>15220</v>
      </c>
      <c r="X1296" s="70">
        <v>40</v>
      </c>
      <c r="Y1296" s="70">
        <v>20</v>
      </c>
      <c r="Z1296" s="13">
        <v>32015</v>
      </c>
      <c r="AA1296" s="13">
        <v>32067</v>
      </c>
      <c r="AB1296" s="13">
        <v>32106</v>
      </c>
      <c r="AC1296" s="13">
        <v>32106</v>
      </c>
      <c r="AD1296" s="86">
        <v>12540</v>
      </c>
      <c r="AE1296" s="86">
        <v>12540</v>
      </c>
      <c r="AF1296" s="70" t="s">
        <v>15221</v>
      </c>
      <c r="AG1296" s="17" t="s">
        <v>15222</v>
      </c>
      <c r="AH1296" s="17" t="s">
        <v>15223</v>
      </c>
      <c r="AI1296" s="70" t="s">
        <v>94</v>
      </c>
      <c r="AJ1296" s="17" t="s">
        <v>94</v>
      </c>
      <c r="AK1296" s="17" t="s">
        <v>95</v>
      </c>
      <c r="AL1296" s="17" t="s">
        <v>15224</v>
      </c>
      <c r="AM1296" s="17" t="s">
        <v>95</v>
      </c>
      <c r="AN1296" s="17" t="s">
        <v>825</v>
      </c>
      <c r="AO1296" s="17" t="s">
        <v>98</v>
      </c>
      <c r="AP1296" s="17" t="s">
        <v>98</v>
      </c>
      <c r="AQ1296" s="17" t="s">
        <v>98</v>
      </c>
      <c r="AR1296" s="17" t="s">
        <v>94</v>
      </c>
      <c r="AS1296" s="17" t="s">
        <v>15225</v>
      </c>
      <c r="AT1296" s="17">
        <v>217</v>
      </c>
      <c r="AU1296" s="30" t="s">
        <v>15226</v>
      </c>
      <c r="AV1296" s="14">
        <v>16068</v>
      </c>
      <c r="AW1296" s="74"/>
      <c r="AX1296" s="1"/>
      <c r="AY1296" s="17" t="s">
        <v>101</v>
      </c>
    </row>
    <row r="1297" spans="1:51" ht="15" customHeight="1" x14ac:dyDescent="0.25">
      <c r="A1297" s="5">
        <v>1228</v>
      </c>
      <c r="B1297" s="9">
        <v>1228</v>
      </c>
      <c r="C1297" s="9" t="s">
        <v>15227</v>
      </c>
      <c r="D1297" s="57" t="str">
        <f>HYPERLINK("http://prodenv.dep.state.fl.us/DepNexus/public/electronic-documents/OG_1228/facility!search","OG_1228_Docs")</f>
        <v>OG_1228_Docs</v>
      </c>
      <c r="E1297" s="57" t="str">
        <f>HYPERLINK("https://ca.dep.state.fl.us/mapdirect/?focus=oilandgas&amp;zoom=query&amp;querytype=oilandgas&amp;queryvalues=OG_1228","OG_1228_Map")</f>
        <v>OG_1228_Map</v>
      </c>
      <c r="F1297" s="1" t="s">
        <v>1682</v>
      </c>
      <c r="G1297" s="1" t="s">
        <v>79</v>
      </c>
      <c r="H1297" s="1" t="s">
        <v>15228</v>
      </c>
      <c r="I1297" s="1" t="s">
        <v>15229</v>
      </c>
      <c r="J1297" s="17" t="s">
        <v>82</v>
      </c>
      <c r="K1297" s="17" t="s">
        <v>83</v>
      </c>
      <c r="L1297" s="17"/>
      <c r="M1297" s="17"/>
      <c r="N1297" s="52" t="s">
        <v>15230</v>
      </c>
      <c r="O1297" s="17" t="s">
        <v>86</v>
      </c>
      <c r="P1297" s="17" t="s">
        <v>86</v>
      </c>
      <c r="Q1297" s="81" t="s">
        <v>15231</v>
      </c>
      <c r="R1297" s="11">
        <v>30.905432000000001</v>
      </c>
      <c r="S1297" s="11">
        <v>-87.535719</v>
      </c>
      <c r="T1297" s="11" t="s">
        <v>15232</v>
      </c>
      <c r="U1297" s="11" t="s">
        <v>15233</v>
      </c>
      <c r="V1297" s="17" t="s">
        <v>15234</v>
      </c>
      <c r="W1297" s="17" t="s">
        <v>15235</v>
      </c>
      <c r="X1297" s="70">
        <v>194</v>
      </c>
      <c r="Y1297" s="70">
        <v>163</v>
      </c>
      <c r="Z1297" s="13">
        <v>32105</v>
      </c>
      <c r="AA1297" s="13">
        <v>32127</v>
      </c>
      <c r="AB1297" s="13"/>
      <c r="AC1297" s="13">
        <v>32215</v>
      </c>
      <c r="AD1297" s="86">
        <v>17262</v>
      </c>
      <c r="AE1297" s="86">
        <v>17262</v>
      </c>
      <c r="AF1297" s="70" t="s">
        <v>13337</v>
      </c>
      <c r="AG1297" s="17" t="s">
        <v>15236</v>
      </c>
      <c r="AH1297" s="17" t="s">
        <v>15237</v>
      </c>
      <c r="AI1297" s="70" t="s">
        <v>94</v>
      </c>
      <c r="AJ1297" s="17" t="s">
        <v>94</v>
      </c>
      <c r="AK1297" s="17" t="s">
        <v>95</v>
      </c>
      <c r="AL1297" s="17" t="s">
        <v>15238</v>
      </c>
      <c r="AM1297" s="17" t="s">
        <v>825</v>
      </c>
      <c r="AN1297" s="17" t="s">
        <v>15239</v>
      </c>
      <c r="AO1297" s="17" t="s">
        <v>98</v>
      </c>
      <c r="AP1297" s="17" t="s">
        <v>98</v>
      </c>
      <c r="AQ1297" s="17" t="s">
        <v>98</v>
      </c>
      <c r="AR1297" s="17" t="s">
        <v>94</v>
      </c>
      <c r="AS1297" s="17" t="s">
        <v>15240</v>
      </c>
      <c r="AT1297" s="17">
        <v>228</v>
      </c>
      <c r="AU1297" s="30" t="s">
        <v>15241</v>
      </c>
      <c r="AV1297" s="14">
        <v>16126</v>
      </c>
      <c r="AW1297" s="74"/>
      <c r="AX1297" s="1"/>
      <c r="AY1297" s="17" t="s">
        <v>101</v>
      </c>
    </row>
    <row r="1298" spans="1:51" ht="12.75" customHeight="1" x14ac:dyDescent="0.25">
      <c r="A1298" s="5">
        <v>1229</v>
      </c>
      <c r="B1298" s="9">
        <v>1229</v>
      </c>
      <c r="C1298" s="9" t="s">
        <v>15242</v>
      </c>
      <c r="D1298" s="57" t="str">
        <f>HYPERLINK("http://prodenv.dep.state.fl.us/DepNexus/public/electronic-documents/OG_1229/facility!search","OG_1229_Docs")</f>
        <v>OG_1229_Docs</v>
      </c>
      <c r="E1298" s="57" t="str">
        <f>HYPERLINK("https://ca.dep.state.fl.us/mapdirect/?focus=oilandgas&amp;zoom=query&amp;querytype=oilandgas&amp;queryvalues=OG_1229","OG_1229_Map")</f>
        <v>OG_1229_Map</v>
      </c>
      <c r="F1298" s="1" t="s">
        <v>1797</v>
      </c>
      <c r="G1298" s="1" t="s">
        <v>1798</v>
      </c>
      <c r="H1298" s="1" t="s">
        <v>14793</v>
      </c>
      <c r="I1298" s="1" t="s">
        <v>15243</v>
      </c>
      <c r="J1298" s="17" t="s">
        <v>82</v>
      </c>
      <c r="K1298" s="17" t="s">
        <v>83</v>
      </c>
      <c r="L1298" s="17"/>
      <c r="M1298" s="17"/>
      <c r="N1298" s="52" t="s">
        <v>15244</v>
      </c>
      <c r="O1298" s="17" t="s">
        <v>86</v>
      </c>
      <c r="P1298" s="17" t="s">
        <v>86</v>
      </c>
      <c r="Q1298" s="81" t="s">
        <v>15245</v>
      </c>
      <c r="R1298" s="11">
        <v>30.986943</v>
      </c>
      <c r="S1298" s="11">
        <v>-87.140589000000006</v>
      </c>
      <c r="T1298" s="11" t="s">
        <v>15246</v>
      </c>
      <c r="U1298" s="11" t="s">
        <v>15247</v>
      </c>
      <c r="V1298" s="17" t="s">
        <v>15248</v>
      </c>
      <c r="W1298" s="17" t="s">
        <v>15249</v>
      </c>
      <c r="X1298" s="70">
        <v>251</v>
      </c>
      <c r="Y1298" s="70">
        <v>238</v>
      </c>
      <c r="Z1298" s="13">
        <v>32105</v>
      </c>
      <c r="AA1298" s="13">
        <v>32119</v>
      </c>
      <c r="AB1298" s="13"/>
      <c r="AC1298" s="13">
        <v>32148</v>
      </c>
      <c r="AD1298" s="86">
        <v>6800</v>
      </c>
      <c r="AE1298" s="86">
        <v>6800</v>
      </c>
      <c r="AF1298" s="70" t="s">
        <v>11383</v>
      </c>
      <c r="AG1298" s="17" t="s">
        <v>15250</v>
      </c>
      <c r="AH1298" s="17" t="s">
        <v>86</v>
      </c>
      <c r="AI1298" s="70" t="s">
        <v>86</v>
      </c>
      <c r="AJ1298" s="17" t="s">
        <v>86</v>
      </c>
      <c r="AK1298" s="17" t="s">
        <v>13193</v>
      </c>
      <c r="AL1298" s="17" t="s">
        <v>13193</v>
      </c>
      <c r="AM1298" s="17" t="s">
        <v>13193</v>
      </c>
      <c r="AN1298" s="17" t="s">
        <v>86</v>
      </c>
      <c r="AO1298" s="17" t="s">
        <v>98</v>
      </c>
      <c r="AP1298" s="17" t="s">
        <v>98</v>
      </c>
      <c r="AQ1298" s="17" t="s">
        <v>98</v>
      </c>
      <c r="AR1298" s="17" t="s">
        <v>86</v>
      </c>
      <c r="AS1298" s="17" t="s">
        <v>15251</v>
      </c>
      <c r="AT1298" s="17">
        <v>140</v>
      </c>
      <c r="AU1298" s="30" t="s">
        <v>15252</v>
      </c>
      <c r="AV1298" s="14" t="s">
        <v>94</v>
      </c>
      <c r="AW1298" s="74"/>
      <c r="AX1298" s="1"/>
      <c r="AY1298" s="17" t="s">
        <v>101</v>
      </c>
    </row>
    <row r="1299" spans="1:51" ht="12.75" customHeight="1" x14ac:dyDescent="0.25">
      <c r="A1299" s="5">
        <v>1230</v>
      </c>
      <c r="B1299" s="9">
        <v>1230</v>
      </c>
      <c r="C1299" s="9" t="s">
        <v>15253</v>
      </c>
      <c r="D1299" s="57" t="str">
        <f>HYPERLINK("http://prodenv.dep.state.fl.us/DepNexus/public/electronic-documents/OG_1230/facility!search","OG_1230_Docs")</f>
        <v>OG_1230_Docs</v>
      </c>
      <c r="E1299" s="57" t="str">
        <f>HYPERLINK("https://ca.dep.state.fl.us/mapdirect/?focus=oilandgas&amp;zoom=query&amp;querytype=oilandgas&amp;queryvalues=OG_1230","OG_1230_Map")</f>
        <v>OG_1230_Map</v>
      </c>
      <c r="F1299" s="1" t="s">
        <v>1682</v>
      </c>
      <c r="G1299" s="1" t="s">
        <v>15254</v>
      </c>
      <c r="H1299" s="1" t="s">
        <v>13487</v>
      </c>
      <c r="I1299" s="1" t="s">
        <v>15255</v>
      </c>
      <c r="J1299" s="17" t="s">
        <v>268</v>
      </c>
      <c r="K1299" s="17" t="s">
        <v>412</v>
      </c>
      <c r="L1299" s="17"/>
      <c r="M1299" s="17" t="s">
        <v>101</v>
      </c>
      <c r="N1299" s="52" t="s">
        <v>15256</v>
      </c>
      <c r="O1299" s="17" t="s">
        <v>86</v>
      </c>
      <c r="P1299" s="17" t="s">
        <v>86</v>
      </c>
      <c r="Q1299" s="81" t="s">
        <v>15257</v>
      </c>
      <c r="R1299" s="11">
        <v>30.909435999999999</v>
      </c>
      <c r="S1299" s="11">
        <v>-87.331175000000002</v>
      </c>
      <c r="T1299" s="11" t="s">
        <v>15258</v>
      </c>
      <c r="U1299" s="11" t="s">
        <v>15259</v>
      </c>
      <c r="V1299" s="17" t="s">
        <v>15260</v>
      </c>
      <c r="W1299" s="17" t="s">
        <v>15261</v>
      </c>
      <c r="X1299" s="70">
        <v>269</v>
      </c>
      <c r="Y1299" s="70">
        <v>239</v>
      </c>
      <c r="Z1299" s="13">
        <v>32157</v>
      </c>
      <c r="AA1299" s="13">
        <v>32242</v>
      </c>
      <c r="AB1299" s="13">
        <v>32293</v>
      </c>
      <c r="AC1299" s="13">
        <v>33537</v>
      </c>
      <c r="AD1299" s="86">
        <v>16810</v>
      </c>
      <c r="AE1299" s="86">
        <v>16810</v>
      </c>
      <c r="AF1299" s="70" t="s">
        <v>14375</v>
      </c>
      <c r="AG1299" s="17" t="s">
        <v>12656</v>
      </c>
      <c r="AH1299" s="17" t="s">
        <v>86</v>
      </c>
      <c r="AI1299" s="70" t="s">
        <v>15262</v>
      </c>
      <c r="AJ1299" s="17" t="s">
        <v>15263</v>
      </c>
      <c r="AK1299" s="17" t="s">
        <v>825</v>
      </c>
      <c r="AL1299" s="17" t="s">
        <v>15264</v>
      </c>
      <c r="AM1299" s="17" t="s">
        <v>95</v>
      </c>
      <c r="AN1299" s="17" t="s">
        <v>86</v>
      </c>
      <c r="AO1299" s="17" t="s">
        <v>15265</v>
      </c>
      <c r="AP1299" s="17" t="s">
        <v>15266</v>
      </c>
      <c r="AQ1299" s="17">
        <v>0</v>
      </c>
      <c r="AR1299" s="17" t="s">
        <v>15267</v>
      </c>
      <c r="AS1299" s="17" t="s">
        <v>15268</v>
      </c>
      <c r="AT1299" s="17">
        <v>264</v>
      </c>
      <c r="AU1299" s="30" t="s">
        <v>15269</v>
      </c>
      <c r="AV1299" s="14">
        <v>16406</v>
      </c>
      <c r="AW1299" s="74"/>
      <c r="AX1299" s="39" t="s">
        <v>15270</v>
      </c>
      <c r="AY1299" s="17" t="s">
        <v>101</v>
      </c>
    </row>
    <row r="1300" spans="1:51" ht="12.75" customHeight="1" x14ac:dyDescent="0.25">
      <c r="A1300" s="5">
        <v>1231</v>
      </c>
      <c r="B1300" s="9">
        <v>1231</v>
      </c>
      <c r="C1300" s="9" t="s">
        <v>15271</v>
      </c>
      <c r="D1300" s="57" t="str">
        <f>HYPERLINK("http://prodenv.dep.state.fl.us/DepNexus/public/electronic-documents/OG_1231/facility!search","OG_1231_Docs")</f>
        <v>OG_1231_Docs</v>
      </c>
      <c r="E1300" s="57" t="str">
        <f>HYPERLINK("https://ca.dep.state.fl.us/mapdirect/?focus=oilandgas&amp;zoom=query&amp;querytype=oilandgas&amp;queryvalues=OG_1231","OG_1231_Map")</f>
        <v>OG_1231_Map</v>
      </c>
      <c r="F1300" s="1" t="s">
        <v>1797</v>
      </c>
      <c r="G1300" s="1" t="s">
        <v>79</v>
      </c>
      <c r="H1300" s="1" t="s">
        <v>15193</v>
      </c>
      <c r="I1300" s="1" t="s">
        <v>15272</v>
      </c>
      <c r="J1300" s="17" t="s">
        <v>207</v>
      </c>
      <c r="K1300" s="17" t="s">
        <v>208</v>
      </c>
      <c r="L1300" s="17"/>
      <c r="M1300" s="17" t="s">
        <v>207</v>
      </c>
      <c r="N1300" s="52" t="s">
        <v>207</v>
      </c>
      <c r="O1300" s="17" t="s">
        <v>1962</v>
      </c>
      <c r="P1300" s="17" t="s">
        <v>86</v>
      </c>
      <c r="Q1300" s="81" t="s">
        <v>15273</v>
      </c>
      <c r="R1300" s="11">
        <v>30.977732</v>
      </c>
      <c r="S1300" s="11">
        <v>-86.832460999999995</v>
      </c>
      <c r="T1300" s="11" t="s">
        <v>15274</v>
      </c>
      <c r="U1300" s="11" t="s">
        <v>15275</v>
      </c>
      <c r="V1300" s="17" t="s">
        <v>15276</v>
      </c>
      <c r="W1300" s="17" t="s">
        <v>15277</v>
      </c>
      <c r="X1300" s="70"/>
      <c r="Y1300" s="70"/>
      <c r="Z1300" s="13">
        <v>32196</v>
      </c>
      <c r="AA1300" s="13"/>
      <c r="AB1300" s="13"/>
      <c r="AC1300" s="13"/>
      <c r="AD1300" s="86"/>
      <c r="AE1300" s="86"/>
      <c r="AF1300" s="70" t="s">
        <v>207</v>
      </c>
      <c r="AG1300" s="14" t="s">
        <v>207</v>
      </c>
      <c r="AH1300" s="14" t="s">
        <v>207</v>
      </c>
      <c r="AI1300" s="70" t="s">
        <v>207</v>
      </c>
      <c r="AJ1300" s="14" t="s">
        <v>207</v>
      </c>
      <c r="AK1300" s="14" t="s">
        <v>207</v>
      </c>
      <c r="AL1300" s="14" t="s">
        <v>207</v>
      </c>
      <c r="AM1300" s="14" t="s">
        <v>207</v>
      </c>
      <c r="AN1300" s="14" t="s">
        <v>207</v>
      </c>
      <c r="AO1300" s="14" t="s">
        <v>207</v>
      </c>
      <c r="AP1300" s="14" t="s">
        <v>207</v>
      </c>
      <c r="AQ1300" s="14" t="s">
        <v>207</v>
      </c>
      <c r="AR1300" s="14" t="s">
        <v>207</v>
      </c>
      <c r="AS1300" s="14" t="s">
        <v>207</v>
      </c>
      <c r="AT1300" s="14" t="s">
        <v>207</v>
      </c>
      <c r="AU1300" s="30" t="s">
        <v>1843</v>
      </c>
      <c r="AV1300" s="14" t="s">
        <v>207</v>
      </c>
      <c r="AW1300" s="74"/>
      <c r="AX1300" s="1"/>
      <c r="AY1300" s="17" t="s">
        <v>101</v>
      </c>
    </row>
    <row r="1301" spans="1:51" ht="15" customHeight="1" x14ac:dyDescent="0.25">
      <c r="A1301" s="5">
        <v>1232</v>
      </c>
      <c r="B1301" s="9">
        <v>1232</v>
      </c>
      <c r="C1301" s="9" t="s">
        <v>15278</v>
      </c>
      <c r="D1301" s="57" t="str">
        <f>HYPERLINK("http://prodenv.dep.state.fl.us/DepNexus/public/electronic-documents/OG_1232/facility!search","OG_1232_Docs")</f>
        <v>OG_1232_Docs</v>
      </c>
      <c r="E1301" s="57" t="str">
        <f>HYPERLINK("https://ca.dep.state.fl.us/mapdirect/?focus=oilandgas&amp;zoom=query&amp;querytype=oilandgas&amp;queryvalues=OG_1232","OG_1232_Map")</f>
        <v>OG_1232_Map</v>
      </c>
      <c r="F1301" s="1" t="s">
        <v>1797</v>
      </c>
      <c r="G1301" s="1" t="s">
        <v>79</v>
      </c>
      <c r="H1301" s="1" t="s">
        <v>15279</v>
      </c>
      <c r="I1301" s="1" t="s">
        <v>15280</v>
      </c>
      <c r="J1301" s="17" t="s">
        <v>82</v>
      </c>
      <c r="K1301" s="17" t="s">
        <v>83</v>
      </c>
      <c r="L1301" s="17"/>
      <c r="M1301" s="17"/>
      <c r="N1301" s="52" t="s">
        <v>15281</v>
      </c>
      <c r="O1301" s="17" t="s">
        <v>86</v>
      </c>
      <c r="P1301" s="17" t="s">
        <v>86</v>
      </c>
      <c r="Q1301" s="81" t="s">
        <v>15282</v>
      </c>
      <c r="R1301" s="11">
        <v>30.84477</v>
      </c>
      <c r="S1301" s="11">
        <v>-87.060843000000006</v>
      </c>
      <c r="T1301" s="11" t="s">
        <v>15283</v>
      </c>
      <c r="U1301" s="11" t="s">
        <v>15284</v>
      </c>
      <c r="V1301" s="17" t="s">
        <v>15285</v>
      </c>
      <c r="W1301" s="17" t="s">
        <v>15286</v>
      </c>
      <c r="X1301" s="70">
        <v>182</v>
      </c>
      <c r="Y1301" s="70">
        <v>153</v>
      </c>
      <c r="Z1301" s="13">
        <v>32134</v>
      </c>
      <c r="AA1301" s="13">
        <v>32278</v>
      </c>
      <c r="AB1301" s="13"/>
      <c r="AC1301" s="13">
        <v>32318</v>
      </c>
      <c r="AD1301" s="86">
        <v>16080</v>
      </c>
      <c r="AE1301" s="86">
        <v>16080</v>
      </c>
      <c r="AF1301" s="70" t="s">
        <v>11383</v>
      </c>
      <c r="AG1301" s="17" t="s">
        <v>15287</v>
      </c>
      <c r="AH1301" s="17" t="s">
        <v>86</v>
      </c>
      <c r="AI1301" s="70" t="s">
        <v>86</v>
      </c>
      <c r="AJ1301" s="17" t="s">
        <v>86</v>
      </c>
      <c r="AK1301" s="17" t="s">
        <v>95</v>
      </c>
      <c r="AL1301" s="17" t="s">
        <v>15288</v>
      </c>
      <c r="AM1301" s="17" t="s">
        <v>95</v>
      </c>
      <c r="AN1301" s="17" t="s">
        <v>86</v>
      </c>
      <c r="AO1301" s="17" t="s">
        <v>98</v>
      </c>
      <c r="AP1301" s="17" t="s">
        <v>98</v>
      </c>
      <c r="AQ1301" s="17" t="s">
        <v>98</v>
      </c>
      <c r="AR1301" s="17" t="s">
        <v>94</v>
      </c>
      <c r="AS1301" s="17" t="s">
        <v>15289</v>
      </c>
      <c r="AT1301" s="17">
        <v>251</v>
      </c>
      <c r="AU1301" s="30" t="s">
        <v>15290</v>
      </c>
      <c r="AV1301" s="14">
        <v>16180</v>
      </c>
      <c r="AW1301" s="74"/>
      <c r="AX1301" s="1"/>
      <c r="AY1301" s="17" t="s">
        <v>101</v>
      </c>
    </row>
    <row r="1302" spans="1:51" ht="12.75" customHeight="1" x14ac:dyDescent="0.25">
      <c r="A1302" s="5">
        <v>1233</v>
      </c>
      <c r="B1302" s="9">
        <v>1233</v>
      </c>
      <c r="C1302" s="9" t="s">
        <v>15291</v>
      </c>
      <c r="D1302" s="57" t="str">
        <f>HYPERLINK("http://prodenv.dep.state.fl.us/DepNexus/public/electronic-documents/OG_1233/facility!search","OG_1233_Docs")</f>
        <v>OG_1233_Docs</v>
      </c>
      <c r="E1302" s="57" t="str">
        <f>HYPERLINK("https://ca.dep.state.fl.us/mapdirect/?focus=oilandgas&amp;zoom=query&amp;querytype=oilandgas&amp;queryvalues=OG_1233","OG_1233_Map")</f>
        <v>OG_1233_Map</v>
      </c>
      <c r="F1302" s="1" t="s">
        <v>265</v>
      </c>
      <c r="G1302" s="1" t="s">
        <v>79</v>
      </c>
      <c r="H1302" s="1" t="s">
        <v>15292</v>
      </c>
      <c r="I1302" s="1" t="s">
        <v>13462</v>
      </c>
      <c r="J1302" s="17" t="s">
        <v>207</v>
      </c>
      <c r="K1302" s="17" t="s">
        <v>208</v>
      </c>
      <c r="L1302" s="17"/>
      <c r="M1302" s="17" t="s">
        <v>207</v>
      </c>
      <c r="N1302" s="52" t="s">
        <v>207</v>
      </c>
      <c r="O1302" s="17" t="s">
        <v>270</v>
      </c>
      <c r="P1302" s="17" t="s">
        <v>86</v>
      </c>
      <c r="Q1302" s="81" t="s">
        <v>15293</v>
      </c>
      <c r="R1302" s="11">
        <v>26.452197000000002</v>
      </c>
      <c r="S1302" s="11">
        <v>-81.414568000000003</v>
      </c>
      <c r="T1302" s="11" t="s">
        <v>15294</v>
      </c>
      <c r="U1302" s="11" t="s">
        <v>15295</v>
      </c>
      <c r="V1302" s="17" t="s">
        <v>15296</v>
      </c>
      <c r="W1302" s="17" t="s">
        <v>15297</v>
      </c>
      <c r="X1302" s="70"/>
      <c r="Y1302" s="70"/>
      <c r="Z1302" s="13">
        <v>32259</v>
      </c>
      <c r="AA1302" s="13"/>
      <c r="AB1302" s="13"/>
      <c r="AC1302" s="13"/>
      <c r="AD1302" s="86"/>
      <c r="AE1302" s="86"/>
      <c r="AF1302" s="70" t="s">
        <v>207</v>
      </c>
      <c r="AG1302" s="14" t="s">
        <v>207</v>
      </c>
      <c r="AH1302" s="14" t="s">
        <v>207</v>
      </c>
      <c r="AI1302" s="70" t="s">
        <v>207</v>
      </c>
      <c r="AJ1302" s="14" t="s">
        <v>207</v>
      </c>
      <c r="AK1302" s="14" t="s">
        <v>207</v>
      </c>
      <c r="AL1302" s="14" t="s">
        <v>207</v>
      </c>
      <c r="AM1302" s="14" t="s">
        <v>207</v>
      </c>
      <c r="AN1302" s="14" t="s">
        <v>207</v>
      </c>
      <c r="AO1302" s="14" t="s">
        <v>207</v>
      </c>
      <c r="AP1302" s="14" t="s">
        <v>207</v>
      </c>
      <c r="AQ1302" s="14" t="s">
        <v>207</v>
      </c>
      <c r="AR1302" s="14" t="s">
        <v>207</v>
      </c>
      <c r="AS1302" s="14" t="s">
        <v>207</v>
      </c>
      <c r="AT1302" s="14" t="s">
        <v>207</v>
      </c>
      <c r="AU1302" s="30" t="s">
        <v>1843</v>
      </c>
      <c r="AV1302" s="14" t="s">
        <v>207</v>
      </c>
      <c r="AW1302" s="74"/>
      <c r="AX1302" s="1"/>
      <c r="AY1302" s="17" t="s">
        <v>101</v>
      </c>
    </row>
    <row r="1303" spans="1:51" ht="12.75" customHeight="1" x14ac:dyDescent="0.25">
      <c r="A1303" s="5">
        <v>1234</v>
      </c>
      <c r="B1303" s="9">
        <v>1234</v>
      </c>
      <c r="C1303" s="9" t="s">
        <v>15298</v>
      </c>
      <c r="D1303" s="57" t="str">
        <f>HYPERLINK("http://prodenv.dep.state.fl.us/DepNexus/public/electronic-documents/OG_1234/facility!search","OG_1234_Docs")</f>
        <v>OG_1234_Docs</v>
      </c>
      <c r="E1303" s="57" t="str">
        <f>HYPERLINK("https://ca.dep.state.fl.us/mapdirect/?focus=oilandgas&amp;zoom=query&amp;querytype=oilandgas&amp;queryvalues=OG_1234","OG_1234_Map")</f>
        <v>OG_1234_Map</v>
      </c>
      <c r="F1303" s="1" t="s">
        <v>1682</v>
      </c>
      <c r="G1303" s="1" t="s">
        <v>15254</v>
      </c>
      <c r="H1303" s="1" t="s">
        <v>13487</v>
      </c>
      <c r="I1303" s="1" t="s">
        <v>15299</v>
      </c>
      <c r="J1303" s="17" t="s">
        <v>82</v>
      </c>
      <c r="K1303" s="17" t="s">
        <v>83</v>
      </c>
      <c r="L1303" s="17"/>
      <c r="M1303" s="17"/>
      <c r="N1303" s="52" t="s">
        <v>15300</v>
      </c>
      <c r="O1303" s="17" t="s">
        <v>86</v>
      </c>
      <c r="P1303" s="17" t="s">
        <v>86</v>
      </c>
      <c r="Q1303" s="81" t="s">
        <v>15301</v>
      </c>
      <c r="R1303" s="11">
        <v>30.906497999999999</v>
      </c>
      <c r="S1303" s="11">
        <v>-87.324828999999994</v>
      </c>
      <c r="T1303" s="11" t="s">
        <v>15302</v>
      </c>
      <c r="U1303" s="11" t="s">
        <v>15303</v>
      </c>
      <c r="V1303" s="17" t="s">
        <v>15304</v>
      </c>
      <c r="W1303" s="17" t="s">
        <v>15305</v>
      </c>
      <c r="X1303" s="70">
        <v>250</v>
      </c>
      <c r="Y1303" s="70">
        <v>230</v>
      </c>
      <c r="Z1303" s="13">
        <v>32315</v>
      </c>
      <c r="AA1303" s="13">
        <v>32276</v>
      </c>
      <c r="AB1303" s="13">
        <v>32670</v>
      </c>
      <c r="AC1303" s="13">
        <v>32675</v>
      </c>
      <c r="AD1303" s="86">
        <v>16750</v>
      </c>
      <c r="AE1303" s="86">
        <v>16750</v>
      </c>
      <c r="AF1303" s="70" t="s">
        <v>11383</v>
      </c>
      <c r="AG1303" s="17" t="s">
        <v>15306</v>
      </c>
      <c r="AH1303" s="17" t="s">
        <v>86</v>
      </c>
      <c r="AI1303" s="70" t="s">
        <v>86</v>
      </c>
      <c r="AJ1303" s="17" t="s">
        <v>86</v>
      </c>
      <c r="AK1303" s="17" t="s">
        <v>95</v>
      </c>
      <c r="AL1303" s="17" t="s">
        <v>825</v>
      </c>
      <c r="AM1303" s="17" t="s">
        <v>825</v>
      </c>
      <c r="AN1303" s="17" t="s">
        <v>86</v>
      </c>
      <c r="AO1303" s="17" t="s">
        <v>98</v>
      </c>
      <c r="AP1303" s="17" t="s">
        <v>98</v>
      </c>
      <c r="AQ1303" s="17" t="s">
        <v>98</v>
      </c>
      <c r="AR1303" s="17" t="s">
        <v>94</v>
      </c>
      <c r="AS1303" s="17" t="s">
        <v>15307</v>
      </c>
      <c r="AT1303" s="17">
        <v>270</v>
      </c>
      <c r="AU1303" s="30" t="s">
        <v>15308</v>
      </c>
      <c r="AV1303" s="14">
        <v>16368</v>
      </c>
      <c r="AW1303" s="74"/>
      <c r="AX1303" s="1"/>
      <c r="AY1303" s="17" t="s">
        <v>101</v>
      </c>
    </row>
    <row r="1304" spans="1:51" ht="12.75" customHeight="1" x14ac:dyDescent="0.25">
      <c r="A1304" s="5">
        <v>1235</v>
      </c>
      <c r="B1304" s="9">
        <v>1235</v>
      </c>
      <c r="C1304" s="9" t="s">
        <v>15309</v>
      </c>
      <c r="D1304" s="57" t="str">
        <f>HYPERLINK("http://prodenv.dep.state.fl.us/DepNexus/public/electronic-documents/OG_1235/facility!search","OG_1235_Docs")</f>
        <v>OG_1235_Docs</v>
      </c>
      <c r="E1304" s="57" t="str">
        <f>HYPERLINK("https://ca.dep.state.fl.us/mapdirect/?focus=oilandgas&amp;zoom=query&amp;querytype=oilandgas&amp;queryvalues=OG_1235","OG_1235_Map")</f>
        <v>OG_1235_Map</v>
      </c>
      <c r="F1304" s="1" t="s">
        <v>103</v>
      </c>
      <c r="G1304" s="1" t="s">
        <v>79</v>
      </c>
      <c r="H1304" s="1" t="s">
        <v>15310</v>
      </c>
      <c r="I1304" s="1" t="s">
        <v>15311</v>
      </c>
      <c r="J1304" s="17" t="s">
        <v>82</v>
      </c>
      <c r="K1304" s="17" t="s">
        <v>83</v>
      </c>
      <c r="L1304" s="17"/>
      <c r="M1304" s="17"/>
      <c r="N1304" s="52" t="s">
        <v>15312</v>
      </c>
      <c r="O1304" s="17" t="s">
        <v>86</v>
      </c>
      <c r="P1304" s="17" t="s">
        <v>86</v>
      </c>
      <c r="Q1304" s="81" t="s">
        <v>15313</v>
      </c>
      <c r="R1304" s="11">
        <v>30.565152999999999</v>
      </c>
      <c r="S1304" s="11">
        <v>-85.025543999999996</v>
      </c>
      <c r="T1304" s="11" t="s">
        <v>15314</v>
      </c>
      <c r="U1304" s="11" t="s">
        <v>15315</v>
      </c>
      <c r="V1304" s="17" t="s">
        <v>15316</v>
      </c>
      <c r="W1304" s="17" t="s">
        <v>15317</v>
      </c>
      <c r="X1304" s="70">
        <v>141</v>
      </c>
      <c r="Y1304" s="70">
        <v>120</v>
      </c>
      <c r="Z1304" s="13">
        <v>32323</v>
      </c>
      <c r="AA1304" s="13">
        <v>32346</v>
      </c>
      <c r="AB1304" s="13"/>
      <c r="AC1304" s="13">
        <v>32440</v>
      </c>
      <c r="AD1304" s="86">
        <v>9758</v>
      </c>
      <c r="AE1304" s="86">
        <v>9758</v>
      </c>
      <c r="AF1304" s="70" t="s">
        <v>15318</v>
      </c>
      <c r="AG1304" s="17" t="s">
        <v>15319</v>
      </c>
      <c r="AH1304" s="17" t="s">
        <v>86</v>
      </c>
      <c r="AI1304" s="70" t="s">
        <v>86</v>
      </c>
      <c r="AJ1304" s="17" t="s">
        <v>86</v>
      </c>
      <c r="AK1304" s="17" t="s">
        <v>95</v>
      </c>
      <c r="AL1304" s="17" t="s">
        <v>825</v>
      </c>
      <c r="AM1304" s="17" t="s">
        <v>825</v>
      </c>
      <c r="AN1304" s="17" t="s">
        <v>86</v>
      </c>
      <c r="AO1304" s="17" t="s">
        <v>98</v>
      </c>
      <c r="AP1304" s="17" t="s">
        <v>98</v>
      </c>
      <c r="AQ1304" s="17" t="s">
        <v>98</v>
      </c>
      <c r="AR1304" s="17" t="s">
        <v>94</v>
      </c>
      <c r="AS1304" s="17" t="s">
        <v>15320</v>
      </c>
      <c r="AT1304" s="17">
        <v>110</v>
      </c>
      <c r="AU1304" s="30" t="s">
        <v>15321</v>
      </c>
      <c r="AV1304" s="14">
        <v>16298</v>
      </c>
      <c r="AW1304" s="74"/>
      <c r="AX1304" s="1"/>
      <c r="AY1304" s="17" t="s">
        <v>101</v>
      </c>
    </row>
    <row r="1305" spans="1:51" ht="12.75" customHeight="1" x14ac:dyDescent="0.25">
      <c r="A1305" s="5">
        <v>1236</v>
      </c>
      <c r="B1305" s="9">
        <v>1236</v>
      </c>
      <c r="C1305" s="9" t="s">
        <v>15322</v>
      </c>
      <c r="D1305" s="57" t="str">
        <f>HYPERLINK("http://prodenv.dep.state.fl.us/DepNexus/public/electronic-documents/OG_1236/facility!search","OG_1236_Docs")</f>
        <v>OG_1236_Docs</v>
      </c>
      <c r="E1305" s="57" t="str">
        <f>HYPERLINK("https://ca.dep.state.fl.us/mapdirect/?focus=oilandgas&amp;zoom=query&amp;querytype=oilandgas&amp;queryvalues=OG_1236","OG_1236_Map")</f>
        <v>OG_1236_Map</v>
      </c>
      <c r="F1305" s="1" t="s">
        <v>2026</v>
      </c>
      <c r="G1305" s="1" t="s">
        <v>4496</v>
      </c>
      <c r="H1305" s="1" t="s">
        <v>15193</v>
      </c>
      <c r="I1305" s="1" t="s">
        <v>15323</v>
      </c>
      <c r="J1305" s="17" t="s">
        <v>207</v>
      </c>
      <c r="K1305" s="17" t="s">
        <v>208</v>
      </c>
      <c r="L1305" s="17"/>
      <c r="M1305" s="17" t="s">
        <v>207</v>
      </c>
      <c r="N1305" s="52" t="s">
        <v>207</v>
      </c>
      <c r="O1305" s="17" t="s">
        <v>86</v>
      </c>
      <c r="P1305" s="17" t="s">
        <v>86</v>
      </c>
      <c r="Q1305" s="81" t="s">
        <v>15324</v>
      </c>
      <c r="R1305" s="11">
        <v>26.555651000000001</v>
      </c>
      <c r="S1305" s="11">
        <v>-81.581592000000001</v>
      </c>
      <c r="T1305" s="11" t="s">
        <v>15325</v>
      </c>
      <c r="U1305" s="11" t="s">
        <v>15326</v>
      </c>
      <c r="V1305" s="17" t="s">
        <v>15327</v>
      </c>
      <c r="W1305" s="17" t="s">
        <v>15328</v>
      </c>
      <c r="X1305" s="70"/>
      <c r="Y1305" s="70"/>
      <c r="Z1305" s="13">
        <v>32338</v>
      </c>
      <c r="AA1305" s="13"/>
      <c r="AB1305" s="13"/>
      <c r="AC1305" s="13"/>
      <c r="AD1305" s="86"/>
      <c r="AE1305" s="86"/>
      <c r="AF1305" s="70" t="s">
        <v>207</v>
      </c>
      <c r="AG1305" s="14" t="s">
        <v>207</v>
      </c>
      <c r="AH1305" s="14" t="s">
        <v>207</v>
      </c>
      <c r="AI1305" s="70" t="s">
        <v>207</v>
      </c>
      <c r="AJ1305" s="14" t="s">
        <v>207</v>
      </c>
      <c r="AK1305" s="14" t="s">
        <v>207</v>
      </c>
      <c r="AL1305" s="14" t="s">
        <v>207</v>
      </c>
      <c r="AM1305" s="14" t="s">
        <v>207</v>
      </c>
      <c r="AN1305" s="14" t="s">
        <v>207</v>
      </c>
      <c r="AO1305" s="14" t="s">
        <v>207</v>
      </c>
      <c r="AP1305" s="14" t="s">
        <v>207</v>
      </c>
      <c r="AQ1305" s="14" t="s">
        <v>207</v>
      </c>
      <c r="AR1305" s="14" t="s">
        <v>207</v>
      </c>
      <c r="AS1305" s="14" t="s">
        <v>207</v>
      </c>
      <c r="AT1305" s="14" t="s">
        <v>207</v>
      </c>
      <c r="AU1305" s="30" t="s">
        <v>1843</v>
      </c>
      <c r="AV1305" s="14" t="s">
        <v>207</v>
      </c>
      <c r="AW1305" s="74"/>
      <c r="AX1305" s="1"/>
      <c r="AY1305" s="17" t="s">
        <v>101</v>
      </c>
    </row>
    <row r="1306" spans="1:51" ht="12.75" customHeight="1" x14ac:dyDescent="0.25">
      <c r="A1306" s="5">
        <v>1237</v>
      </c>
      <c r="B1306" s="9">
        <v>1237</v>
      </c>
      <c r="C1306" s="9" t="s">
        <v>15329</v>
      </c>
      <c r="D1306" s="57" t="str">
        <f>HYPERLINK("http://prodenv.dep.state.fl.us/DepNexus/public/electronic-documents/OG_1237/facility!search","OG_1237_Docs")</f>
        <v>OG_1237_Docs</v>
      </c>
      <c r="E1306" s="57" t="str">
        <f>HYPERLINK("https://ca.dep.state.fl.us/mapdirect/?focus=oilandgas&amp;zoom=query&amp;querytype=oilandgas&amp;queryvalues=OG_1237","OG_1237_Map")</f>
        <v>OG_1237_Map</v>
      </c>
      <c r="F1306" s="1" t="s">
        <v>2026</v>
      </c>
      <c r="G1306" s="1" t="s">
        <v>4496</v>
      </c>
      <c r="H1306" s="1" t="s">
        <v>15193</v>
      </c>
      <c r="I1306" s="1" t="s">
        <v>15330</v>
      </c>
      <c r="J1306" s="17" t="s">
        <v>207</v>
      </c>
      <c r="K1306" s="17" t="s">
        <v>208</v>
      </c>
      <c r="L1306" s="17"/>
      <c r="M1306" s="17" t="s">
        <v>207</v>
      </c>
      <c r="N1306" s="52" t="s">
        <v>207</v>
      </c>
      <c r="O1306" s="17" t="s">
        <v>86</v>
      </c>
      <c r="P1306" s="17" t="s">
        <v>86</v>
      </c>
      <c r="Q1306" s="81" t="s">
        <v>9642</v>
      </c>
      <c r="R1306" s="11">
        <v>26.555928000000002</v>
      </c>
      <c r="S1306" s="11">
        <v>-81.581591000000003</v>
      </c>
      <c r="T1306" s="11" t="s">
        <v>15331</v>
      </c>
      <c r="U1306" s="11" t="s">
        <v>15332</v>
      </c>
      <c r="V1306" s="17" t="s">
        <v>15333</v>
      </c>
      <c r="W1306" s="17" t="s">
        <v>15334</v>
      </c>
      <c r="X1306" s="70"/>
      <c r="Y1306" s="70"/>
      <c r="Z1306" s="13">
        <v>32338</v>
      </c>
      <c r="AA1306" s="13"/>
      <c r="AB1306" s="13"/>
      <c r="AC1306" s="13"/>
      <c r="AD1306" s="86"/>
      <c r="AE1306" s="86"/>
      <c r="AF1306" s="70" t="s">
        <v>207</v>
      </c>
      <c r="AG1306" s="14" t="s">
        <v>207</v>
      </c>
      <c r="AH1306" s="14" t="s">
        <v>207</v>
      </c>
      <c r="AI1306" s="70" t="s">
        <v>207</v>
      </c>
      <c r="AJ1306" s="14" t="s">
        <v>207</v>
      </c>
      <c r="AK1306" s="14" t="s">
        <v>207</v>
      </c>
      <c r="AL1306" s="14" t="s">
        <v>207</v>
      </c>
      <c r="AM1306" s="14" t="s">
        <v>207</v>
      </c>
      <c r="AN1306" s="14" t="s">
        <v>207</v>
      </c>
      <c r="AO1306" s="14" t="s">
        <v>207</v>
      </c>
      <c r="AP1306" s="14" t="s">
        <v>207</v>
      </c>
      <c r="AQ1306" s="14" t="s">
        <v>207</v>
      </c>
      <c r="AR1306" s="14" t="s">
        <v>207</v>
      </c>
      <c r="AS1306" s="14" t="s">
        <v>207</v>
      </c>
      <c r="AT1306" s="14" t="s">
        <v>207</v>
      </c>
      <c r="AU1306" s="30" t="s">
        <v>1843</v>
      </c>
      <c r="AV1306" s="14" t="s">
        <v>207</v>
      </c>
      <c r="AW1306" s="74"/>
      <c r="AX1306" s="1"/>
      <c r="AY1306" s="17" t="s">
        <v>101</v>
      </c>
    </row>
    <row r="1307" spans="1:51" ht="12.75" customHeight="1" x14ac:dyDescent="0.25">
      <c r="A1307" s="5">
        <v>1238</v>
      </c>
      <c r="B1307" s="9">
        <v>1238</v>
      </c>
      <c r="C1307" s="9" t="s">
        <v>15335</v>
      </c>
      <c r="D1307" s="57" t="str">
        <f>HYPERLINK("http://prodenv.dep.state.fl.us/DepNexus/public/electronic-documents/OG_1238/facility!search","OG_1238_Docs")</f>
        <v>OG_1238_Docs</v>
      </c>
      <c r="E1307" s="57" t="str">
        <f>HYPERLINK("https://ca.dep.state.fl.us/mapdirect/?focus=oilandgas&amp;zoom=query&amp;querytype=oilandgas&amp;queryvalues=OG_1238","OG_1238_Map")</f>
        <v>OG_1238_Map</v>
      </c>
      <c r="F1307" s="1" t="s">
        <v>265</v>
      </c>
      <c r="G1307" s="1" t="s">
        <v>79</v>
      </c>
      <c r="H1307" s="1" t="s">
        <v>14466</v>
      </c>
      <c r="I1307" s="1" t="s">
        <v>15336</v>
      </c>
      <c r="J1307" s="17" t="s">
        <v>82</v>
      </c>
      <c r="K1307" s="17" t="s">
        <v>83</v>
      </c>
      <c r="L1307" s="17"/>
      <c r="M1307" s="17"/>
      <c r="N1307" s="52" t="s">
        <v>15337</v>
      </c>
      <c r="O1307" s="17" t="s">
        <v>86</v>
      </c>
      <c r="P1307" s="17" t="s">
        <v>86</v>
      </c>
      <c r="Q1307" s="81" t="s">
        <v>15338</v>
      </c>
      <c r="R1307" s="11">
        <v>26.510459999999998</v>
      </c>
      <c r="S1307" s="11">
        <v>-81.502977999999999</v>
      </c>
      <c r="T1307" s="11" t="s">
        <v>15339</v>
      </c>
      <c r="U1307" s="11" t="s">
        <v>15340</v>
      </c>
      <c r="V1307" s="17" t="s">
        <v>15341</v>
      </c>
      <c r="W1307" s="17" t="s">
        <v>15342</v>
      </c>
      <c r="X1307" s="70">
        <v>51</v>
      </c>
      <c r="Y1307" s="70">
        <v>29</v>
      </c>
      <c r="Z1307" s="13">
        <v>32757</v>
      </c>
      <c r="AA1307" s="13">
        <v>32779</v>
      </c>
      <c r="AB1307" s="13"/>
      <c r="AC1307" s="13">
        <v>32819</v>
      </c>
      <c r="AD1307" s="86">
        <v>11620</v>
      </c>
      <c r="AE1307" s="86">
        <v>11620</v>
      </c>
      <c r="AF1307" s="70" t="s">
        <v>15343</v>
      </c>
      <c r="AG1307" s="17" t="s">
        <v>15344</v>
      </c>
      <c r="AH1307" s="17" t="s">
        <v>15345</v>
      </c>
      <c r="AI1307" s="70" t="s">
        <v>86</v>
      </c>
      <c r="AJ1307" s="17" t="s">
        <v>86</v>
      </c>
      <c r="AK1307" s="17" t="s">
        <v>95</v>
      </c>
      <c r="AL1307" s="17" t="s">
        <v>15346</v>
      </c>
      <c r="AM1307" s="17" t="s">
        <v>95</v>
      </c>
      <c r="AN1307" s="17" t="s">
        <v>86</v>
      </c>
      <c r="AO1307" s="17" t="s">
        <v>98</v>
      </c>
      <c r="AP1307" s="17" t="s">
        <v>98</v>
      </c>
      <c r="AQ1307" s="17" t="s">
        <v>98</v>
      </c>
      <c r="AR1307" s="17" t="s">
        <v>86</v>
      </c>
      <c r="AS1307" s="17" t="s">
        <v>15347</v>
      </c>
      <c r="AT1307" s="17">
        <v>193</v>
      </c>
      <c r="AU1307" s="30" t="s">
        <v>15348</v>
      </c>
      <c r="AV1307" s="14">
        <v>16457</v>
      </c>
      <c r="AW1307" s="74"/>
      <c r="AX1307" s="1"/>
      <c r="AY1307" s="17" t="s">
        <v>101</v>
      </c>
    </row>
    <row r="1308" spans="1:51" ht="12.75" customHeight="1" x14ac:dyDescent="0.25">
      <c r="A1308" s="5">
        <v>1239</v>
      </c>
      <c r="B1308" s="9">
        <v>1239</v>
      </c>
      <c r="C1308" s="9" t="s">
        <v>15349</v>
      </c>
      <c r="D1308" s="57" t="str">
        <f>HYPERLINK("http://prodenv.dep.state.fl.us/DepNexus/public/electronic-documents/OG_1239/facility!search","OG_1239_Docs")</f>
        <v>OG_1239_Docs</v>
      </c>
      <c r="E1308" s="57" t="str">
        <f>HYPERLINK("https://ca.dep.state.fl.us/mapdirect/?focus=oilandgas&amp;zoom=query&amp;querytype=oilandgas&amp;queryvalues=OG_1239","OG_1239_Map")</f>
        <v>OG_1239_Map</v>
      </c>
      <c r="F1308" s="1" t="s">
        <v>265</v>
      </c>
      <c r="G1308" s="1" t="s">
        <v>79</v>
      </c>
      <c r="H1308" s="1" t="s">
        <v>15350</v>
      </c>
      <c r="I1308" s="1" t="s">
        <v>15351</v>
      </c>
      <c r="J1308" s="17" t="s">
        <v>207</v>
      </c>
      <c r="K1308" s="17" t="s">
        <v>208</v>
      </c>
      <c r="L1308" s="17"/>
      <c r="M1308" s="17" t="s">
        <v>207</v>
      </c>
      <c r="N1308" s="52" t="s">
        <v>207</v>
      </c>
      <c r="O1308" s="17" t="s">
        <v>270</v>
      </c>
      <c r="P1308" s="17" t="s">
        <v>3395</v>
      </c>
      <c r="Q1308" s="81" t="s">
        <v>15352</v>
      </c>
      <c r="R1308" s="11">
        <v>26.228173999999999</v>
      </c>
      <c r="S1308" s="11">
        <v>-81.232479999999995</v>
      </c>
      <c r="T1308" s="11" t="s">
        <v>15353</v>
      </c>
      <c r="U1308" s="11" t="s">
        <v>15354</v>
      </c>
      <c r="V1308" s="17" t="s">
        <v>15355</v>
      </c>
      <c r="W1308" s="17" t="s">
        <v>15356</v>
      </c>
      <c r="X1308" s="70"/>
      <c r="Y1308" s="70"/>
      <c r="Z1308" s="13">
        <v>32413</v>
      </c>
      <c r="AA1308" s="13"/>
      <c r="AB1308" s="13"/>
      <c r="AC1308" s="13"/>
      <c r="AD1308" s="86"/>
      <c r="AE1308" s="86"/>
      <c r="AF1308" s="70" t="s">
        <v>207</v>
      </c>
      <c r="AG1308" s="17" t="s">
        <v>207</v>
      </c>
      <c r="AH1308" s="17" t="s">
        <v>207</v>
      </c>
      <c r="AI1308" s="70" t="s">
        <v>207</v>
      </c>
      <c r="AJ1308" s="17" t="s">
        <v>207</v>
      </c>
      <c r="AK1308" s="17" t="s">
        <v>207</v>
      </c>
      <c r="AL1308" s="17" t="s">
        <v>207</v>
      </c>
      <c r="AM1308" s="17" t="s">
        <v>207</v>
      </c>
      <c r="AN1308" s="17" t="s">
        <v>207</v>
      </c>
      <c r="AO1308" s="17" t="s">
        <v>207</v>
      </c>
      <c r="AP1308" s="17" t="s">
        <v>207</v>
      </c>
      <c r="AQ1308" s="17" t="s">
        <v>207</v>
      </c>
      <c r="AR1308" s="17" t="s">
        <v>207</v>
      </c>
      <c r="AS1308" s="17" t="s">
        <v>207</v>
      </c>
      <c r="AT1308" s="17" t="s">
        <v>207</v>
      </c>
      <c r="AU1308" s="30" t="s">
        <v>1843</v>
      </c>
      <c r="AV1308" s="14" t="s">
        <v>207</v>
      </c>
      <c r="AW1308" s="74"/>
      <c r="AX1308" s="1"/>
      <c r="AY1308" s="17" t="s">
        <v>101</v>
      </c>
    </row>
    <row r="1309" spans="1:51" ht="12.75" customHeight="1" x14ac:dyDescent="0.25">
      <c r="A1309" s="5">
        <v>1240</v>
      </c>
      <c r="B1309" s="9">
        <v>1240</v>
      </c>
      <c r="C1309" s="9" t="s">
        <v>15357</v>
      </c>
      <c r="D1309" s="57" t="str">
        <f>HYPERLINK("http://prodenv.dep.state.fl.us/DepNexus/public/electronic-documents/OG_1240/facility!search","OG_1240_Docs")</f>
        <v>OG_1240_Docs</v>
      </c>
      <c r="E1309" s="57" t="str">
        <f>HYPERLINK("https://ca.dep.state.fl.us/mapdirect/?focus=oilandgas&amp;zoom=query&amp;querytype=oilandgas&amp;queryvalues=OG_1240","OG_1240_Map")</f>
        <v>OG_1240_Map</v>
      </c>
      <c r="F1309" s="1" t="s">
        <v>265</v>
      </c>
      <c r="G1309" s="1" t="s">
        <v>79</v>
      </c>
      <c r="H1309" s="1" t="s">
        <v>14466</v>
      </c>
      <c r="I1309" s="1" t="s">
        <v>10974</v>
      </c>
      <c r="J1309" s="17" t="s">
        <v>82</v>
      </c>
      <c r="K1309" s="17" t="s">
        <v>83</v>
      </c>
      <c r="L1309" s="17"/>
      <c r="M1309" s="17"/>
      <c r="N1309" s="52" t="s">
        <v>15358</v>
      </c>
      <c r="O1309" s="17" t="s">
        <v>270</v>
      </c>
      <c r="P1309" s="17" t="s">
        <v>86</v>
      </c>
      <c r="Q1309" s="81" t="s">
        <v>15359</v>
      </c>
      <c r="R1309" s="11">
        <v>26.226296999999999</v>
      </c>
      <c r="S1309" s="11">
        <v>-81.328022000000004</v>
      </c>
      <c r="T1309" s="11" t="s">
        <v>15360</v>
      </c>
      <c r="U1309" s="11" t="s">
        <v>15361</v>
      </c>
      <c r="V1309" s="17" t="s">
        <v>15362</v>
      </c>
      <c r="W1309" s="17" t="s">
        <v>15363</v>
      </c>
      <c r="X1309" s="70">
        <v>38</v>
      </c>
      <c r="Y1309" s="70">
        <v>16</v>
      </c>
      <c r="Z1309" s="13">
        <v>32413</v>
      </c>
      <c r="AA1309" s="13">
        <v>32427</v>
      </c>
      <c r="AB1309" s="13"/>
      <c r="AC1309" s="13">
        <v>32487</v>
      </c>
      <c r="AD1309" s="86">
        <v>11879</v>
      </c>
      <c r="AE1309" s="86">
        <v>12345</v>
      </c>
      <c r="AF1309" s="70" t="s">
        <v>12799</v>
      </c>
      <c r="AG1309" s="17" t="s">
        <v>15364</v>
      </c>
      <c r="AH1309" s="17" t="s">
        <v>15365</v>
      </c>
      <c r="AI1309" s="70" t="s">
        <v>86</v>
      </c>
      <c r="AJ1309" s="17" t="s">
        <v>86</v>
      </c>
      <c r="AK1309" s="17" t="s">
        <v>95</v>
      </c>
      <c r="AL1309" s="17" t="s">
        <v>15366</v>
      </c>
      <c r="AM1309" s="17" t="s">
        <v>95</v>
      </c>
      <c r="AN1309" s="17" t="s">
        <v>86</v>
      </c>
      <c r="AO1309" s="17" t="s">
        <v>98</v>
      </c>
      <c r="AP1309" s="17" t="s">
        <v>98</v>
      </c>
      <c r="AQ1309" s="17" t="s">
        <v>98</v>
      </c>
      <c r="AR1309" s="17" t="s">
        <v>86</v>
      </c>
      <c r="AS1309" s="17" t="s">
        <v>15367</v>
      </c>
      <c r="AT1309" s="17">
        <v>178</v>
      </c>
      <c r="AU1309" s="30" t="s">
        <v>15368</v>
      </c>
      <c r="AV1309" s="14">
        <v>16243</v>
      </c>
      <c r="AW1309" s="74"/>
      <c r="AX1309" s="1"/>
      <c r="AY1309" s="17" t="s">
        <v>101</v>
      </c>
    </row>
    <row r="1310" spans="1:51" ht="12.75" customHeight="1" x14ac:dyDescent="0.25">
      <c r="A1310" s="5">
        <v>1241</v>
      </c>
      <c r="B1310" s="9">
        <v>1241</v>
      </c>
      <c r="C1310" s="9" t="s">
        <v>15369</v>
      </c>
      <c r="D1310" s="57" t="str">
        <f>HYPERLINK("http://prodenv.dep.state.fl.us/DepNexus/public/electronic-documents/OG_1241/facility!search","OG_1241_Docs")</f>
        <v>OG_1241_Docs</v>
      </c>
      <c r="E1310" s="57" t="str">
        <f>HYPERLINK("https://ca.dep.state.fl.us/mapdirect/?focus=oilandgas&amp;zoom=query&amp;querytype=oilandgas&amp;queryvalues=OG_1241","OG_1241_Map")</f>
        <v>OG_1241_Map</v>
      </c>
      <c r="F1310" s="1" t="s">
        <v>1797</v>
      </c>
      <c r="G1310" s="1" t="s">
        <v>1798</v>
      </c>
      <c r="H1310" s="1" t="s">
        <v>13606</v>
      </c>
      <c r="I1310" s="1" t="s">
        <v>15370</v>
      </c>
      <c r="J1310" s="17" t="s">
        <v>207</v>
      </c>
      <c r="K1310" s="17" t="s">
        <v>208</v>
      </c>
      <c r="L1310" s="17"/>
      <c r="M1310" s="17" t="s">
        <v>207</v>
      </c>
      <c r="N1310" s="52" t="s">
        <v>207</v>
      </c>
      <c r="O1310" s="17" t="s">
        <v>86</v>
      </c>
      <c r="P1310" s="17" t="s">
        <v>86</v>
      </c>
      <c r="Q1310" s="81" t="s">
        <v>14371</v>
      </c>
      <c r="R1310" s="11">
        <v>30.949918</v>
      </c>
      <c r="S1310" s="11">
        <v>-87.107348999999999</v>
      </c>
      <c r="T1310" s="11" t="s">
        <v>15371</v>
      </c>
      <c r="U1310" s="11" t="s">
        <v>15372</v>
      </c>
      <c r="V1310" s="17" t="s">
        <v>15373</v>
      </c>
      <c r="W1310" s="17" t="s">
        <v>15374</v>
      </c>
      <c r="X1310" s="70"/>
      <c r="Y1310" s="70">
        <v>237</v>
      </c>
      <c r="Z1310" s="13">
        <v>32413</v>
      </c>
      <c r="AA1310" s="13"/>
      <c r="AB1310" s="13"/>
      <c r="AC1310" s="13"/>
      <c r="AD1310" s="86"/>
      <c r="AE1310" s="86"/>
      <c r="AF1310" s="70" t="s">
        <v>207</v>
      </c>
      <c r="AG1310" s="14" t="s">
        <v>207</v>
      </c>
      <c r="AH1310" s="14" t="s">
        <v>207</v>
      </c>
      <c r="AI1310" s="70" t="s">
        <v>207</v>
      </c>
      <c r="AJ1310" s="14" t="s">
        <v>207</v>
      </c>
      <c r="AK1310" s="14" t="s">
        <v>207</v>
      </c>
      <c r="AL1310" s="14" t="s">
        <v>207</v>
      </c>
      <c r="AM1310" s="14" t="s">
        <v>207</v>
      </c>
      <c r="AN1310" s="14" t="s">
        <v>207</v>
      </c>
      <c r="AO1310" s="14" t="s">
        <v>207</v>
      </c>
      <c r="AP1310" s="14" t="s">
        <v>207</v>
      </c>
      <c r="AQ1310" s="14" t="s">
        <v>207</v>
      </c>
      <c r="AR1310" s="14" t="s">
        <v>207</v>
      </c>
      <c r="AS1310" s="14" t="s">
        <v>207</v>
      </c>
      <c r="AT1310" s="14" t="s">
        <v>207</v>
      </c>
      <c r="AU1310" s="30" t="s">
        <v>1843</v>
      </c>
      <c r="AV1310" s="14" t="s">
        <v>207</v>
      </c>
      <c r="AW1310" s="74"/>
      <c r="AX1310" s="1"/>
      <c r="AY1310" s="17" t="s">
        <v>101</v>
      </c>
    </row>
    <row r="1311" spans="1:51" ht="12.75" customHeight="1" x14ac:dyDescent="0.25">
      <c r="A1311" s="5">
        <v>1242</v>
      </c>
      <c r="B1311" s="9">
        <v>1242</v>
      </c>
      <c r="C1311" s="9" t="s">
        <v>15375</v>
      </c>
      <c r="D1311" s="57" t="str">
        <f>HYPERLINK("http://prodenv.dep.state.fl.us/DepNexus/public/electronic-documents/OG_1242/facility!search","OG_1242_Docs")</f>
        <v>OG_1242_Docs</v>
      </c>
      <c r="E1311" s="57" t="str">
        <f>HYPERLINK("https://ca.dep.state.fl.us/mapdirect/?focus=oilandgas&amp;zoom=query&amp;querytype=oilandgas&amp;queryvalues=OG_1242","OG_1242_Map")</f>
        <v>OG_1242_Map</v>
      </c>
      <c r="F1311" s="1" t="s">
        <v>1752</v>
      </c>
      <c r="G1311" s="1" t="s">
        <v>79</v>
      </c>
      <c r="H1311" s="1" t="s">
        <v>15376</v>
      </c>
      <c r="I1311" s="1" t="s">
        <v>15377</v>
      </c>
      <c r="J1311" s="17" t="s">
        <v>82</v>
      </c>
      <c r="K1311" s="17" t="s">
        <v>83</v>
      </c>
      <c r="L1311" s="17"/>
      <c r="M1311" s="17"/>
      <c r="N1311" s="52" t="s">
        <v>15378</v>
      </c>
      <c r="O1311" s="17" t="s">
        <v>86</v>
      </c>
      <c r="P1311" s="17" t="s">
        <v>86</v>
      </c>
      <c r="Q1311" s="81" t="s">
        <v>15379</v>
      </c>
      <c r="R1311" s="11">
        <v>26.491813</v>
      </c>
      <c r="S1311" s="11">
        <v>-81.203326000000004</v>
      </c>
      <c r="T1311" s="11" t="s">
        <v>15380</v>
      </c>
      <c r="U1311" s="11" t="s">
        <v>15381</v>
      </c>
      <c r="V1311" s="17" t="s">
        <v>15382</v>
      </c>
      <c r="W1311" s="23" t="s">
        <v>110</v>
      </c>
      <c r="X1311" s="70">
        <v>50</v>
      </c>
      <c r="Y1311" s="70">
        <v>32</v>
      </c>
      <c r="Z1311" s="13">
        <v>32821</v>
      </c>
      <c r="AA1311" s="13">
        <v>33924</v>
      </c>
      <c r="AB1311" s="13"/>
      <c r="AC1311" s="13">
        <v>33957</v>
      </c>
      <c r="AD1311" s="86">
        <v>11710</v>
      </c>
      <c r="AE1311" s="86">
        <v>11710</v>
      </c>
      <c r="AF1311" s="70" t="s">
        <v>11521</v>
      </c>
      <c r="AG1311" s="17" t="s">
        <v>15383</v>
      </c>
      <c r="AH1311" s="17" t="s">
        <v>15384</v>
      </c>
      <c r="AI1311" s="70" t="s">
        <v>94</v>
      </c>
      <c r="AJ1311" s="17" t="s">
        <v>94</v>
      </c>
      <c r="AK1311" s="17"/>
      <c r="AL1311" s="17"/>
      <c r="AM1311" s="17"/>
      <c r="AN1311" s="17" t="s">
        <v>15385</v>
      </c>
      <c r="AO1311" s="17" t="s">
        <v>98</v>
      </c>
      <c r="AP1311" s="17" t="s">
        <v>98</v>
      </c>
      <c r="AQ1311" s="17" t="s">
        <v>98</v>
      </c>
      <c r="AR1311" s="17" t="s">
        <v>94</v>
      </c>
      <c r="AS1311" s="17" t="s">
        <v>15386</v>
      </c>
      <c r="AT1311" s="17">
        <v>169</v>
      </c>
      <c r="AU1311" s="30" t="s">
        <v>15387</v>
      </c>
      <c r="AV1311" s="14">
        <v>16895</v>
      </c>
      <c r="AW1311" s="74"/>
      <c r="AX1311" s="1"/>
      <c r="AY1311" s="17" t="s">
        <v>101</v>
      </c>
    </row>
    <row r="1312" spans="1:51" ht="12.75" customHeight="1" x14ac:dyDescent="0.25">
      <c r="A1312" s="5">
        <v>1243</v>
      </c>
      <c r="B1312" s="9">
        <v>1243</v>
      </c>
      <c r="C1312" s="9" t="s">
        <v>15388</v>
      </c>
      <c r="D1312" s="57" t="str">
        <f>HYPERLINK("http://prodenv.dep.state.fl.us/DepNexus/public/electronic-documents/OG_1243/facility!search","OG_1243_Docs")</f>
        <v>OG_1243_Docs</v>
      </c>
      <c r="E1312" s="57" t="str">
        <f>HYPERLINK("https://ca.dep.state.fl.us/mapdirect/?focus=oilandgas&amp;zoom=query&amp;querytype=oilandgas&amp;queryvalues=OG_1243","OG_1243_Map")</f>
        <v>OG_1243_Map</v>
      </c>
      <c r="F1312" s="1" t="s">
        <v>265</v>
      </c>
      <c r="G1312" s="1" t="s">
        <v>14480</v>
      </c>
      <c r="H1312" s="1" t="s">
        <v>15389</v>
      </c>
      <c r="I1312" s="1" t="s">
        <v>15086</v>
      </c>
      <c r="J1312" s="17" t="s">
        <v>82</v>
      </c>
      <c r="K1312" s="17" t="s">
        <v>83</v>
      </c>
      <c r="L1312" s="17"/>
      <c r="M1312" s="17"/>
      <c r="N1312" s="52" t="s">
        <v>86</v>
      </c>
      <c r="O1312" s="17" t="s">
        <v>86</v>
      </c>
      <c r="P1312" s="17" t="s">
        <v>86</v>
      </c>
      <c r="Q1312" s="81" t="s">
        <v>15390</v>
      </c>
      <c r="R1312" s="11">
        <v>26.449867000000001</v>
      </c>
      <c r="S1312" s="11">
        <v>-81.543566999999996</v>
      </c>
      <c r="T1312" s="11" t="s">
        <v>15391</v>
      </c>
      <c r="U1312" s="11" t="s">
        <v>15392</v>
      </c>
      <c r="V1312" s="17" t="s">
        <v>15161</v>
      </c>
      <c r="W1312" s="17" t="s">
        <v>15393</v>
      </c>
      <c r="X1312" s="70"/>
      <c r="Y1312" s="70">
        <v>22</v>
      </c>
      <c r="Z1312" s="13">
        <v>32876</v>
      </c>
      <c r="AA1312" s="13">
        <v>33163</v>
      </c>
      <c r="AB1312" s="13">
        <v>33227</v>
      </c>
      <c r="AC1312" s="13">
        <v>33226</v>
      </c>
      <c r="AD1312" s="86">
        <v>10912</v>
      </c>
      <c r="AE1312" s="86">
        <v>12134</v>
      </c>
      <c r="AF1312" s="70" t="s">
        <v>15394</v>
      </c>
      <c r="AG1312" s="17" t="s">
        <v>15395</v>
      </c>
      <c r="AH1312" s="17" t="s">
        <v>15396</v>
      </c>
      <c r="AI1312" s="70" t="s">
        <v>86</v>
      </c>
      <c r="AJ1312" s="17" t="s">
        <v>86</v>
      </c>
      <c r="AK1312" s="17" t="s">
        <v>94</v>
      </c>
      <c r="AL1312" s="17" t="s">
        <v>94</v>
      </c>
      <c r="AM1312" s="17" t="s">
        <v>94</v>
      </c>
      <c r="AN1312" s="17" t="s">
        <v>94</v>
      </c>
      <c r="AO1312" s="17" t="s">
        <v>98</v>
      </c>
      <c r="AP1312" s="17" t="s">
        <v>98</v>
      </c>
      <c r="AQ1312" s="17" t="s">
        <v>98</v>
      </c>
      <c r="AR1312" s="17" t="s">
        <v>94</v>
      </c>
      <c r="AS1312" s="17" t="s">
        <v>15397</v>
      </c>
      <c r="AT1312" s="17" t="s">
        <v>94</v>
      </c>
      <c r="AU1312" s="30" t="s">
        <v>15398</v>
      </c>
      <c r="AV1312" s="14">
        <v>16614</v>
      </c>
      <c r="AW1312" s="74"/>
      <c r="AX1312" s="1"/>
      <c r="AY1312" s="17" t="s">
        <v>101</v>
      </c>
    </row>
    <row r="1313" spans="1:51" ht="12.75" customHeight="1" x14ac:dyDescent="0.25">
      <c r="A1313" s="5">
        <v>1243.0999999999999</v>
      </c>
      <c r="B1313" s="9" t="s">
        <v>15399</v>
      </c>
      <c r="C1313" s="9" t="s">
        <v>15388</v>
      </c>
      <c r="D1313" s="57" t="str">
        <f>HYPERLINK("http://prodenv.dep.state.fl.us/DepNexus/public/electronic-documents/OG_1243/facility!search","OG_1243_Docs")</f>
        <v>OG_1243_Docs</v>
      </c>
      <c r="E1313" s="57" t="str">
        <f>HYPERLINK("https://ca.dep.state.fl.us/mapdirect/?focus=oilandgas&amp;zoom=query&amp;querytype=oilandgas&amp;queryvalues=OG_1243","OG_1243_Map")</f>
        <v>OG_1243_Map</v>
      </c>
      <c r="F1313" s="1" t="s">
        <v>265</v>
      </c>
      <c r="G1313" s="1" t="s">
        <v>14480</v>
      </c>
      <c r="H1313" s="1" t="s">
        <v>15389</v>
      </c>
      <c r="I1313" s="1" t="s">
        <v>15400</v>
      </c>
      <c r="J1313" s="17" t="s">
        <v>82</v>
      </c>
      <c r="K1313" s="17" t="s">
        <v>83</v>
      </c>
      <c r="L1313" s="17"/>
      <c r="M1313" s="17"/>
      <c r="N1313" s="52" t="s">
        <v>15401</v>
      </c>
      <c r="O1313" s="17" t="s">
        <v>86</v>
      </c>
      <c r="P1313" s="17" t="s">
        <v>86</v>
      </c>
      <c r="Q1313" s="81" t="s">
        <v>15390</v>
      </c>
      <c r="R1313" s="11">
        <v>26.449867000000001</v>
      </c>
      <c r="S1313" s="11">
        <v>-81.543566999999996</v>
      </c>
      <c r="T1313" s="11" t="s">
        <v>15391</v>
      </c>
      <c r="U1313" s="11" t="s">
        <v>15392</v>
      </c>
      <c r="V1313" s="17" t="s">
        <v>15161</v>
      </c>
      <c r="W1313" s="17" t="s">
        <v>15402</v>
      </c>
      <c r="X1313" s="70">
        <v>44</v>
      </c>
      <c r="Y1313" s="70">
        <v>22</v>
      </c>
      <c r="Z1313" s="13">
        <v>32876</v>
      </c>
      <c r="AA1313" s="13">
        <v>33257</v>
      </c>
      <c r="AB1313" s="13">
        <v>33372</v>
      </c>
      <c r="AC1313" s="13">
        <v>34003</v>
      </c>
      <c r="AD1313" s="86">
        <v>11555</v>
      </c>
      <c r="AE1313" s="86">
        <v>12824</v>
      </c>
      <c r="AF1313" s="70" t="s">
        <v>15394</v>
      </c>
      <c r="AG1313" s="17" t="s">
        <v>15395</v>
      </c>
      <c r="AH1313" s="17" t="s">
        <v>15396</v>
      </c>
      <c r="AI1313" s="70" t="s">
        <v>15403</v>
      </c>
      <c r="AJ1313" s="17" t="s">
        <v>435</v>
      </c>
      <c r="AK1313" s="17" t="s">
        <v>95</v>
      </c>
      <c r="AL1313" s="17" t="s">
        <v>15404</v>
      </c>
      <c r="AM1313" s="17" t="s">
        <v>95</v>
      </c>
      <c r="AN1313" s="17" t="s">
        <v>15405</v>
      </c>
      <c r="AO1313" s="17">
        <v>0.08</v>
      </c>
      <c r="AP1313" s="17">
        <v>0.05</v>
      </c>
      <c r="AQ1313" s="17">
        <v>0.87</v>
      </c>
      <c r="AR1313" s="17" t="s">
        <v>15406</v>
      </c>
      <c r="AS1313" s="17" t="s">
        <v>15407</v>
      </c>
      <c r="AT1313" s="17">
        <v>178</v>
      </c>
      <c r="AU1313" s="30" t="s">
        <v>15408</v>
      </c>
      <c r="AV1313" s="14">
        <v>16614</v>
      </c>
      <c r="AW1313" s="74"/>
      <c r="AX1313" s="1"/>
      <c r="AY1313" s="17" t="s">
        <v>101</v>
      </c>
    </row>
    <row r="1314" spans="1:51" ht="12.75" customHeight="1" x14ac:dyDescent="0.25">
      <c r="A1314" s="5">
        <v>1243.2</v>
      </c>
      <c r="B1314" s="9" t="s">
        <v>15409</v>
      </c>
      <c r="C1314" s="9" t="s">
        <v>15388</v>
      </c>
      <c r="D1314" s="57" t="str">
        <f>HYPERLINK("http://prodenv.dep.state.fl.us/DepNexus/public/electronic-documents/OG_1243/facility!search","OG_1243_Docs")</f>
        <v>OG_1243_Docs</v>
      </c>
      <c r="E1314" s="57" t="str">
        <f>HYPERLINK("https://ca.dep.state.fl.us/mapdirect/?focus=oilandgas&amp;zoom=query&amp;querytype=oilandgas&amp;queryvalues=OG_1243","OG_1243_Map")</f>
        <v>OG_1243_Map</v>
      </c>
      <c r="F1314" s="1" t="s">
        <v>265</v>
      </c>
      <c r="G1314" s="1" t="s">
        <v>14480</v>
      </c>
      <c r="H1314" s="1" t="s">
        <v>15389</v>
      </c>
      <c r="I1314" s="1" t="s">
        <v>15410</v>
      </c>
      <c r="J1314" s="17" t="s">
        <v>4294</v>
      </c>
      <c r="K1314" s="17" t="s">
        <v>4294</v>
      </c>
      <c r="L1314" s="17"/>
      <c r="M1314" s="17"/>
      <c r="N1314" s="52" t="s">
        <v>15411</v>
      </c>
      <c r="O1314" s="17" t="s">
        <v>86</v>
      </c>
      <c r="P1314" s="17" t="s">
        <v>86</v>
      </c>
      <c r="Q1314" s="81" t="s">
        <v>15390</v>
      </c>
      <c r="R1314" s="11">
        <v>26.449867000000001</v>
      </c>
      <c r="S1314" s="11">
        <v>-81.543566999999996</v>
      </c>
      <c r="T1314" s="11" t="s">
        <v>15391</v>
      </c>
      <c r="U1314" s="11" t="s">
        <v>15392</v>
      </c>
      <c r="V1314" s="17" t="s">
        <v>15161</v>
      </c>
      <c r="W1314" s="17" t="s">
        <v>15412</v>
      </c>
      <c r="X1314" s="70">
        <v>39</v>
      </c>
      <c r="Y1314" s="70">
        <v>22</v>
      </c>
      <c r="Z1314" s="13">
        <v>32876</v>
      </c>
      <c r="AA1314" s="13">
        <v>34014</v>
      </c>
      <c r="AB1314" s="13">
        <v>34017</v>
      </c>
      <c r="AC1314" s="13"/>
      <c r="AD1314" s="86">
        <v>11499</v>
      </c>
      <c r="AE1314" s="86">
        <v>12770</v>
      </c>
      <c r="AF1314" s="70" t="s">
        <v>15394</v>
      </c>
      <c r="AG1314" s="17" t="s">
        <v>15395</v>
      </c>
      <c r="AH1314" s="17" t="s">
        <v>15396</v>
      </c>
      <c r="AI1314" s="70" t="s">
        <v>15413</v>
      </c>
      <c r="AJ1314" s="17" t="s">
        <v>86</v>
      </c>
      <c r="AK1314" s="17" t="s">
        <v>94</v>
      </c>
      <c r="AL1314" s="17" t="s">
        <v>94</v>
      </c>
      <c r="AM1314" s="17" t="s">
        <v>94</v>
      </c>
      <c r="AN1314" s="17" t="s">
        <v>94</v>
      </c>
      <c r="AO1314" s="17" t="s">
        <v>94</v>
      </c>
      <c r="AP1314" s="17" t="s">
        <v>94</v>
      </c>
      <c r="AQ1314" s="17" t="s">
        <v>94</v>
      </c>
      <c r="AR1314" s="17" t="s">
        <v>94</v>
      </c>
      <c r="AS1314" s="17" t="s">
        <v>15414</v>
      </c>
      <c r="AT1314" s="17" t="s">
        <v>94</v>
      </c>
      <c r="AU1314" s="30" t="s">
        <v>15415</v>
      </c>
      <c r="AV1314" s="14" t="s">
        <v>94</v>
      </c>
      <c r="AW1314" s="74"/>
      <c r="AX1314" s="1"/>
      <c r="AY1314" s="17" t="s">
        <v>101</v>
      </c>
    </row>
    <row r="1315" spans="1:51" ht="12.75" customHeight="1" x14ac:dyDescent="0.25">
      <c r="A1315" s="5">
        <v>1243.3</v>
      </c>
      <c r="B1315" s="9" t="s">
        <v>15416</v>
      </c>
      <c r="C1315" s="9" t="s">
        <v>15388</v>
      </c>
      <c r="D1315" s="57" t="str">
        <f>HYPERLINK("http://prodenv.dep.state.fl.us/DepNexus/public/electronic-documents/OG_1243/facility!search","OG_1243_Docs")</f>
        <v>OG_1243_Docs</v>
      </c>
      <c r="E1315" s="57" t="str">
        <f>HYPERLINK("https://ca.dep.state.fl.us/mapdirect/?focus=oilandgas&amp;zoom=query&amp;querytype=oilandgas&amp;queryvalues=OG_1243","OG_1243_Map")</f>
        <v>OG_1243_Map</v>
      </c>
      <c r="F1315" s="1" t="s">
        <v>265</v>
      </c>
      <c r="G1315" s="1" t="s">
        <v>14480</v>
      </c>
      <c r="H1315" s="1" t="s">
        <v>15389</v>
      </c>
      <c r="I1315" s="1" t="s">
        <v>15417</v>
      </c>
      <c r="J1315" s="17" t="s">
        <v>268</v>
      </c>
      <c r="K1315" s="17" t="s">
        <v>412</v>
      </c>
      <c r="L1315" s="17"/>
      <c r="M1315" s="17"/>
      <c r="N1315" s="52" t="s">
        <v>15411</v>
      </c>
      <c r="O1315" s="17" t="s">
        <v>86</v>
      </c>
      <c r="P1315" s="17" t="s">
        <v>86</v>
      </c>
      <c r="Q1315" s="81" t="s">
        <v>15390</v>
      </c>
      <c r="R1315" s="11">
        <v>26.449867000000001</v>
      </c>
      <c r="S1315" s="11">
        <v>-81.543566999999996</v>
      </c>
      <c r="T1315" s="11" t="s">
        <v>15391</v>
      </c>
      <c r="U1315" s="11" t="s">
        <v>15392</v>
      </c>
      <c r="V1315" s="17" t="s">
        <v>15161</v>
      </c>
      <c r="W1315" s="17" t="s">
        <v>15418</v>
      </c>
      <c r="X1315" s="70">
        <v>39</v>
      </c>
      <c r="Y1315" s="70">
        <v>22</v>
      </c>
      <c r="Z1315" s="13">
        <v>32876</v>
      </c>
      <c r="AA1315" s="13">
        <v>34017</v>
      </c>
      <c r="AB1315" s="13">
        <v>34039</v>
      </c>
      <c r="AC1315" s="13"/>
      <c r="AD1315" s="86">
        <v>11555</v>
      </c>
      <c r="AE1315" s="86">
        <v>12838</v>
      </c>
      <c r="AF1315" s="70" t="s">
        <v>15394</v>
      </c>
      <c r="AG1315" s="17" t="s">
        <v>15395</v>
      </c>
      <c r="AH1315" s="17" t="s">
        <v>15396</v>
      </c>
      <c r="AI1315" s="70" t="s">
        <v>15413</v>
      </c>
      <c r="AJ1315" s="17" t="s">
        <v>15419</v>
      </c>
      <c r="AK1315" s="17" t="s">
        <v>94</v>
      </c>
      <c r="AL1315" s="17" t="s">
        <v>94</v>
      </c>
      <c r="AM1315" s="17" t="s">
        <v>94</v>
      </c>
      <c r="AN1315" s="17" t="s">
        <v>94</v>
      </c>
      <c r="AO1315" s="17">
        <v>0.2</v>
      </c>
      <c r="AP1315" s="17">
        <v>0.6</v>
      </c>
      <c r="AQ1315" s="17">
        <v>0.2</v>
      </c>
      <c r="AR1315" s="17" t="s">
        <v>15420</v>
      </c>
      <c r="AS1315" s="17" t="s">
        <v>15414</v>
      </c>
      <c r="AT1315" s="17" t="s">
        <v>94</v>
      </c>
      <c r="AU1315" s="30" t="s">
        <v>15421</v>
      </c>
      <c r="AV1315" s="14" t="s">
        <v>94</v>
      </c>
      <c r="AW1315" s="74"/>
      <c r="AX1315" s="1"/>
      <c r="AY1315" s="17" t="s">
        <v>101</v>
      </c>
    </row>
    <row r="1316" spans="1:51" ht="12.75" customHeight="1" x14ac:dyDescent="0.25">
      <c r="A1316" s="5">
        <v>1243.4000000000001</v>
      </c>
      <c r="B1316" s="9" t="s">
        <v>15422</v>
      </c>
      <c r="C1316" s="9" t="s">
        <v>15388</v>
      </c>
      <c r="D1316" s="57" t="str">
        <f>HYPERLINK("http://prodenv.dep.state.fl.us/DepNexus/public/electronic-documents/OG_1243/facility!search","OG_1243_Docs")</f>
        <v>OG_1243_Docs</v>
      </c>
      <c r="E1316" s="57" t="str">
        <f>HYPERLINK("https://ca.dep.state.fl.us/mapdirect/?focus=oilandgas&amp;zoom=query&amp;querytype=oilandgas&amp;queryvalues=OG_1243","OG_1243_Map")</f>
        <v>OG_1243_Map</v>
      </c>
      <c r="F1316" s="1" t="s">
        <v>265</v>
      </c>
      <c r="G1316" s="1" t="s">
        <v>14480</v>
      </c>
      <c r="H1316" s="1" t="s">
        <v>15292</v>
      </c>
      <c r="I1316" s="1" t="s">
        <v>15423</v>
      </c>
      <c r="J1316" s="17" t="s">
        <v>268</v>
      </c>
      <c r="K1316" s="17" t="s">
        <v>412</v>
      </c>
      <c r="L1316" s="17"/>
      <c r="M1316" s="17"/>
      <c r="N1316" s="52" t="s">
        <v>15411</v>
      </c>
      <c r="O1316" s="17" t="s">
        <v>86</v>
      </c>
      <c r="P1316" s="17" t="s">
        <v>86</v>
      </c>
      <c r="Q1316" s="81" t="s">
        <v>15390</v>
      </c>
      <c r="R1316" s="11">
        <v>26.449867000000001</v>
      </c>
      <c r="S1316" s="11">
        <v>-81.543566999999996</v>
      </c>
      <c r="T1316" s="11" t="s">
        <v>15391</v>
      </c>
      <c r="U1316" s="11" t="s">
        <v>15392</v>
      </c>
      <c r="V1316" s="17" t="s">
        <v>15161</v>
      </c>
      <c r="W1316" s="17" t="s">
        <v>15424</v>
      </c>
      <c r="X1316" s="70">
        <v>33</v>
      </c>
      <c r="Y1316" s="70">
        <v>22</v>
      </c>
      <c r="Z1316" s="13">
        <v>32876</v>
      </c>
      <c r="AA1316" s="13">
        <v>35417</v>
      </c>
      <c r="AB1316" s="13">
        <v>35501</v>
      </c>
      <c r="AC1316" s="13">
        <v>37452</v>
      </c>
      <c r="AD1316" s="86">
        <v>11545</v>
      </c>
      <c r="AE1316" s="86">
        <v>13291</v>
      </c>
      <c r="AF1316" s="70" t="s">
        <v>15394</v>
      </c>
      <c r="AG1316" s="17" t="s">
        <v>15395</v>
      </c>
      <c r="AH1316" s="17" t="s">
        <v>15396</v>
      </c>
      <c r="AI1316" s="70" t="s">
        <v>15425</v>
      </c>
      <c r="AJ1316" s="17" t="s">
        <v>15426</v>
      </c>
      <c r="AK1316" s="17" t="s">
        <v>94</v>
      </c>
      <c r="AL1316" s="17" t="s">
        <v>94</v>
      </c>
      <c r="AM1316" s="17" t="s">
        <v>94</v>
      </c>
      <c r="AN1316" s="17" t="s">
        <v>94</v>
      </c>
      <c r="AO1316" s="17" t="s">
        <v>15427</v>
      </c>
      <c r="AP1316" s="17" t="s">
        <v>4176</v>
      </c>
      <c r="AQ1316" s="17" t="s">
        <v>15428</v>
      </c>
      <c r="AR1316" s="17" t="s">
        <v>15429</v>
      </c>
      <c r="AS1316" s="17" t="s">
        <v>15430</v>
      </c>
      <c r="AT1316" s="17" t="s">
        <v>94</v>
      </c>
      <c r="AU1316" s="30" t="s">
        <v>15431</v>
      </c>
      <c r="AV1316" s="14"/>
      <c r="AW1316" s="74"/>
      <c r="AX1316" s="1"/>
      <c r="AY1316" s="17" t="s">
        <v>101</v>
      </c>
    </row>
    <row r="1317" spans="1:51" ht="15" customHeight="1" x14ac:dyDescent="0.25">
      <c r="A1317" s="5">
        <v>1244</v>
      </c>
      <c r="B1317" s="9">
        <v>1244</v>
      </c>
      <c r="C1317" s="9" t="s">
        <v>15432</v>
      </c>
      <c r="D1317" s="57" t="str">
        <f>HYPERLINK("http://prodenv.dep.state.fl.us/DepNexus/public/electronic-documents/OG_1244/facility!search","OG_1244_Docs")</f>
        <v>OG_1244_Docs</v>
      </c>
      <c r="E1317" s="57" t="str">
        <f>HYPERLINK("https://ca.dep.state.fl.us/mapdirect/?focus=oilandgas&amp;zoom=query&amp;querytype=oilandgas&amp;queryvalues=OG_1244","OG_1244_Map")</f>
        <v>OG_1244_Map</v>
      </c>
      <c r="F1317" s="1" t="s">
        <v>1797</v>
      </c>
      <c r="G1317" s="1" t="s">
        <v>79</v>
      </c>
      <c r="H1317" s="1" t="s">
        <v>15193</v>
      </c>
      <c r="I1317" s="1" t="s">
        <v>15433</v>
      </c>
      <c r="J1317" s="17" t="s">
        <v>82</v>
      </c>
      <c r="K1317" s="17" t="s">
        <v>83</v>
      </c>
      <c r="L1317" s="17"/>
      <c r="M1317" s="17" t="s">
        <v>84</v>
      </c>
      <c r="N1317" s="52" t="s">
        <v>15434</v>
      </c>
      <c r="O1317" s="17" t="s">
        <v>86</v>
      </c>
      <c r="P1317" s="17" t="s">
        <v>86</v>
      </c>
      <c r="Q1317" s="81" t="s">
        <v>15435</v>
      </c>
      <c r="R1317" s="11">
        <v>30.717285</v>
      </c>
      <c r="S1317" s="11">
        <v>-87.165588</v>
      </c>
      <c r="T1317" s="11" t="s">
        <v>15436</v>
      </c>
      <c r="U1317" s="11" t="s">
        <v>15437</v>
      </c>
      <c r="V1317" s="17" t="s">
        <v>15438</v>
      </c>
      <c r="W1317" s="17" t="s">
        <v>15439</v>
      </c>
      <c r="X1317" s="70">
        <v>229</v>
      </c>
      <c r="Y1317" s="70">
        <v>204</v>
      </c>
      <c r="Z1317" s="13">
        <v>32435</v>
      </c>
      <c r="AA1317" s="13">
        <v>32480</v>
      </c>
      <c r="AB1317" s="13"/>
      <c r="AC1317" s="13">
        <v>32534</v>
      </c>
      <c r="AD1317" s="86">
        <v>17418</v>
      </c>
      <c r="AE1317" s="86">
        <v>17418</v>
      </c>
      <c r="AF1317" s="70" t="s">
        <v>11383</v>
      </c>
      <c r="AG1317" s="17" t="s">
        <v>15440</v>
      </c>
      <c r="AH1317" s="17" t="s">
        <v>86</v>
      </c>
      <c r="AI1317" s="70" t="s">
        <v>86</v>
      </c>
      <c r="AJ1317" s="17" t="s">
        <v>86</v>
      </c>
      <c r="AK1317" s="17" t="s">
        <v>95</v>
      </c>
      <c r="AL1317" s="17" t="s">
        <v>15441</v>
      </c>
      <c r="AM1317" s="17" t="s">
        <v>825</v>
      </c>
      <c r="AN1317" s="17" t="s">
        <v>86</v>
      </c>
      <c r="AO1317" s="17" t="s">
        <v>98</v>
      </c>
      <c r="AP1317" s="17" t="s">
        <v>98</v>
      </c>
      <c r="AQ1317" s="17" t="s">
        <v>98</v>
      </c>
      <c r="AR1317" s="17" t="s">
        <v>86</v>
      </c>
      <c r="AS1317" s="17" t="s">
        <v>15442</v>
      </c>
      <c r="AT1317" s="17">
        <v>281</v>
      </c>
      <c r="AU1317" s="30" t="s">
        <v>15443</v>
      </c>
      <c r="AV1317" s="14">
        <v>16244</v>
      </c>
      <c r="AW1317" s="74"/>
      <c r="AX1317" s="1"/>
      <c r="AY1317" s="17" t="s">
        <v>101</v>
      </c>
    </row>
    <row r="1318" spans="1:51" ht="15" customHeight="1" x14ac:dyDescent="0.25">
      <c r="A1318" s="5">
        <v>1245</v>
      </c>
      <c r="B1318" s="9">
        <v>1245</v>
      </c>
      <c r="C1318" s="9" t="s">
        <v>15444</v>
      </c>
      <c r="D1318" s="57" t="str">
        <f>HYPERLINK("http://prodenv.dep.state.fl.us/DepNexus/public/electronic-documents/OG_1245/facility!search","OG_1245_Docs")</f>
        <v>OG_1245_Docs</v>
      </c>
      <c r="E1318" s="57" t="str">
        <f>HYPERLINK("https://ca.dep.state.fl.us/mapdirect/?focus=oilandgas&amp;zoom=query&amp;querytype=oilandgas&amp;queryvalues=OG_1245","OG_1245_Map")</f>
        <v>OG_1245_Map</v>
      </c>
      <c r="F1318" s="1" t="s">
        <v>1797</v>
      </c>
      <c r="G1318" s="1" t="s">
        <v>79</v>
      </c>
      <c r="H1318" s="1" t="s">
        <v>15445</v>
      </c>
      <c r="I1318" s="1" t="s">
        <v>15446</v>
      </c>
      <c r="J1318" s="17" t="s">
        <v>82</v>
      </c>
      <c r="K1318" s="17" t="s">
        <v>83</v>
      </c>
      <c r="L1318" s="17"/>
      <c r="M1318" s="17"/>
      <c r="N1318" s="52" t="s">
        <v>15447</v>
      </c>
      <c r="O1318" s="17" t="s">
        <v>86</v>
      </c>
      <c r="P1318" s="17" t="s">
        <v>86</v>
      </c>
      <c r="Q1318" s="81" t="s">
        <v>15448</v>
      </c>
      <c r="R1318" s="11">
        <v>30.946204999999999</v>
      </c>
      <c r="S1318" s="11">
        <v>-87.240035000000006</v>
      </c>
      <c r="T1318" s="11" t="s">
        <v>15449</v>
      </c>
      <c r="U1318" s="11" t="s">
        <v>15450</v>
      </c>
      <c r="V1318" s="17" t="s">
        <v>15451</v>
      </c>
      <c r="W1318" s="17" t="s">
        <v>15452</v>
      </c>
      <c r="X1318" s="70">
        <v>76</v>
      </c>
      <c r="Y1318" s="70">
        <v>51</v>
      </c>
      <c r="Z1318" s="13">
        <v>32483</v>
      </c>
      <c r="AA1318" s="13">
        <v>32547</v>
      </c>
      <c r="AB1318" s="13"/>
      <c r="AC1318" s="13">
        <v>32588</v>
      </c>
      <c r="AD1318" s="86">
        <v>16123</v>
      </c>
      <c r="AE1318" s="86">
        <v>16233</v>
      </c>
      <c r="AF1318" s="70" t="s">
        <v>13700</v>
      </c>
      <c r="AG1318" s="17" t="s">
        <v>15453</v>
      </c>
      <c r="AH1318" s="17" t="s">
        <v>86</v>
      </c>
      <c r="AI1318" s="70" t="s">
        <v>86</v>
      </c>
      <c r="AJ1318" s="17" t="s">
        <v>86</v>
      </c>
      <c r="AK1318" s="17" t="s">
        <v>95</v>
      </c>
      <c r="AL1318" s="17" t="s">
        <v>825</v>
      </c>
      <c r="AM1318" s="17" t="s">
        <v>825</v>
      </c>
      <c r="AN1318" s="17" t="s">
        <v>86</v>
      </c>
      <c r="AO1318" s="17" t="s">
        <v>98</v>
      </c>
      <c r="AP1318" s="17" t="s">
        <v>98</v>
      </c>
      <c r="AQ1318" s="17" t="s">
        <v>98</v>
      </c>
      <c r="AR1318" s="17" t="s">
        <v>86</v>
      </c>
      <c r="AS1318" s="17" t="s">
        <v>15454</v>
      </c>
      <c r="AT1318" s="17"/>
      <c r="AU1318" s="30" t="s">
        <v>15455</v>
      </c>
      <c r="AV1318" s="14">
        <v>16301</v>
      </c>
      <c r="AW1318" s="74"/>
      <c r="AX1318" s="1"/>
      <c r="AY1318" s="17" t="s">
        <v>101</v>
      </c>
    </row>
    <row r="1319" spans="1:51" ht="12.75" customHeight="1" x14ac:dyDescent="0.25">
      <c r="A1319" s="5">
        <v>1246</v>
      </c>
      <c r="B1319" s="9">
        <v>1246</v>
      </c>
      <c r="C1319" s="9" t="s">
        <v>15456</v>
      </c>
      <c r="D1319" s="57" t="str">
        <f>HYPERLINK("http://prodenv.dep.state.fl.us/DepNexus/public/electronic-documents/OG_1246/facility!search","OG_1246_Docs")</f>
        <v>OG_1246_Docs</v>
      </c>
      <c r="E1319" s="57" t="str">
        <f>HYPERLINK("https://ca.dep.state.fl.us/mapdirect/?focus=oilandgas&amp;zoom=query&amp;querytype=oilandgas&amp;queryvalues=OG_1246","OG_1246_Map")</f>
        <v>OG_1246_Map</v>
      </c>
      <c r="F1319" s="1" t="s">
        <v>1797</v>
      </c>
      <c r="G1319" s="1" t="s">
        <v>79</v>
      </c>
      <c r="H1319" s="1" t="s">
        <v>15193</v>
      </c>
      <c r="I1319" s="1" t="s">
        <v>15457</v>
      </c>
      <c r="J1319" s="17" t="s">
        <v>82</v>
      </c>
      <c r="K1319" s="17" t="s">
        <v>83</v>
      </c>
      <c r="L1319" s="17"/>
      <c r="M1319" s="17" t="s">
        <v>101</v>
      </c>
      <c r="N1319" s="52" t="s">
        <v>15458</v>
      </c>
      <c r="O1319" s="17" t="s">
        <v>86</v>
      </c>
      <c r="P1319" s="17" t="s">
        <v>86</v>
      </c>
      <c r="Q1319" s="81" t="s">
        <v>15459</v>
      </c>
      <c r="R1319" s="11">
        <v>30.826011999999999</v>
      </c>
      <c r="S1319" s="11">
        <v>-86.842504000000005</v>
      </c>
      <c r="T1319" s="11" t="s">
        <v>15460</v>
      </c>
      <c r="U1319" s="11" t="s">
        <v>15461</v>
      </c>
      <c r="V1319" s="17" t="s">
        <v>15285</v>
      </c>
      <c r="W1319" s="17" t="s">
        <v>15286</v>
      </c>
      <c r="X1319" s="70">
        <v>227</v>
      </c>
      <c r="Y1319" s="70">
        <v>203</v>
      </c>
      <c r="Z1319" s="13">
        <v>32532</v>
      </c>
      <c r="AA1319" s="13">
        <v>32592</v>
      </c>
      <c r="AB1319" s="13"/>
      <c r="AC1319" s="13">
        <v>32624</v>
      </c>
      <c r="AD1319" s="86">
        <v>15589</v>
      </c>
      <c r="AE1319" s="86">
        <v>15589</v>
      </c>
      <c r="AF1319" s="70" t="s">
        <v>15462</v>
      </c>
      <c r="AG1319" s="17" t="s">
        <v>15463</v>
      </c>
      <c r="AH1319" s="17" t="s">
        <v>86</v>
      </c>
      <c r="AI1319" s="70" t="s">
        <v>86</v>
      </c>
      <c r="AJ1319" s="17" t="s">
        <v>86</v>
      </c>
      <c r="AK1319" s="17" t="s">
        <v>95</v>
      </c>
      <c r="AL1319" s="17" t="s">
        <v>15464</v>
      </c>
      <c r="AM1319" s="17" t="s">
        <v>825</v>
      </c>
      <c r="AN1319" s="17" t="s">
        <v>86</v>
      </c>
      <c r="AO1319" s="17" t="s">
        <v>98</v>
      </c>
      <c r="AP1319" s="17" t="s">
        <v>98</v>
      </c>
      <c r="AQ1319" s="17" t="s">
        <v>98</v>
      </c>
      <c r="AR1319" s="17" t="s">
        <v>86</v>
      </c>
      <c r="AS1319" s="17" t="s">
        <v>15465</v>
      </c>
      <c r="AT1319" s="17">
        <v>250</v>
      </c>
      <c r="AU1319" s="30" t="s">
        <v>15466</v>
      </c>
      <c r="AV1319" s="14">
        <v>16302</v>
      </c>
      <c r="AW1319" s="74"/>
      <c r="AX1319" s="1"/>
      <c r="AY1319" s="17" t="s">
        <v>101</v>
      </c>
    </row>
    <row r="1320" spans="1:51" ht="12.75" customHeight="1" x14ac:dyDescent="0.25">
      <c r="A1320" s="5">
        <v>1247</v>
      </c>
      <c r="B1320" s="9">
        <v>1247</v>
      </c>
      <c r="C1320" s="9" t="s">
        <v>15467</v>
      </c>
      <c r="D1320" s="57" t="str">
        <f>HYPERLINK("http://prodenv.dep.state.fl.us/DepNexus/public/electronic-documents/OG_1247/facility!search","OG_1247_Docs")</f>
        <v>OG_1247_Docs</v>
      </c>
      <c r="E1320" s="57" t="str">
        <f>HYPERLINK("https://ca.dep.state.fl.us/mapdirect/?focus=oilandgas&amp;zoom=query&amp;querytype=oilandgas&amp;queryvalues=OG_1247","OG_1247_Map")</f>
        <v>OG_1247_Map</v>
      </c>
      <c r="F1320" s="1" t="s">
        <v>2026</v>
      </c>
      <c r="G1320" s="1" t="s">
        <v>79</v>
      </c>
      <c r="H1320" s="1" t="s">
        <v>15085</v>
      </c>
      <c r="I1320" s="1" t="s">
        <v>15468</v>
      </c>
      <c r="J1320" s="17" t="s">
        <v>207</v>
      </c>
      <c r="K1320" s="17" t="s">
        <v>208</v>
      </c>
      <c r="L1320" s="17"/>
      <c r="M1320" s="17" t="s">
        <v>207</v>
      </c>
      <c r="N1320" s="52"/>
      <c r="O1320" s="17" t="s">
        <v>86</v>
      </c>
      <c r="P1320" s="17" t="s">
        <v>86</v>
      </c>
      <c r="Q1320" s="81" t="s">
        <v>15469</v>
      </c>
      <c r="R1320" s="11">
        <v>26.476965</v>
      </c>
      <c r="S1320" s="11">
        <v>-81.598780000000005</v>
      </c>
      <c r="T1320" s="11" t="s">
        <v>15470</v>
      </c>
      <c r="U1320" s="11" t="s">
        <v>15471</v>
      </c>
      <c r="V1320" s="17" t="s">
        <v>15472</v>
      </c>
      <c r="W1320" s="17" t="s">
        <v>110</v>
      </c>
      <c r="X1320" s="70"/>
      <c r="Y1320" s="70"/>
      <c r="Z1320" s="13">
        <v>32889</v>
      </c>
      <c r="AA1320" s="13"/>
      <c r="AB1320" s="13"/>
      <c r="AC1320" s="13"/>
      <c r="AD1320" s="86"/>
      <c r="AE1320" s="86"/>
      <c r="AF1320" s="70" t="s">
        <v>207</v>
      </c>
      <c r="AG1320" s="14" t="s">
        <v>207</v>
      </c>
      <c r="AH1320" s="14" t="s">
        <v>207</v>
      </c>
      <c r="AI1320" s="70" t="s">
        <v>207</v>
      </c>
      <c r="AJ1320" s="14" t="s">
        <v>207</v>
      </c>
      <c r="AK1320" s="14" t="s">
        <v>207</v>
      </c>
      <c r="AL1320" s="14" t="s">
        <v>207</v>
      </c>
      <c r="AM1320" s="14" t="s">
        <v>207</v>
      </c>
      <c r="AN1320" s="14" t="s">
        <v>207</v>
      </c>
      <c r="AO1320" s="14" t="s">
        <v>207</v>
      </c>
      <c r="AP1320" s="14" t="s">
        <v>207</v>
      </c>
      <c r="AQ1320" s="14" t="s">
        <v>207</v>
      </c>
      <c r="AR1320" s="14" t="s">
        <v>207</v>
      </c>
      <c r="AS1320" s="14" t="s">
        <v>207</v>
      </c>
      <c r="AT1320" s="17"/>
      <c r="AU1320" s="30" t="s">
        <v>1843</v>
      </c>
      <c r="AV1320" s="14" t="s">
        <v>207</v>
      </c>
      <c r="AW1320" s="74"/>
      <c r="AX1320" s="1"/>
      <c r="AY1320" s="17" t="s">
        <v>101</v>
      </c>
    </row>
    <row r="1321" spans="1:51" ht="12.75" customHeight="1" x14ac:dyDescent="0.25">
      <c r="A1321" s="5">
        <v>1248</v>
      </c>
      <c r="B1321" s="9">
        <v>1248</v>
      </c>
      <c r="C1321" s="9" t="s">
        <v>15473</v>
      </c>
      <c r="D1321" s="57" t="str">
        <f>HYPERLINK("http://prodenv.dep.state.fl.us/DepNexus/public/electronic-documents/OG_1248/facility!search","OG_1248_Docs")</f>
        <v>OG_1248_Docs</v>
      </c>
      <c r="E1321" s="57" t="str">
        <f>HYPERLINK("https://ca.dep.state.fl.us/mapdirect/?focus=oilandgas&amp;zoom=query&amp;querytype=oilandgas&amp;queryvalues=OG_1248","OG_1248_Map")</f>
        <v>OG_1248_Map</v>
      </c>
      <c r="F1321" s="1" t="s">
        <v>1682</v>
      </c>
      <c r="G1321" s="1" t="s">
        <v>15254</v>
      </c>
      <c r="H1321" s="1" t="s">
        <v>13487</v>
      </c>
      <c r="I1321" s="1" t="s">
        <v>15474</v>
      </c>
      <c r="J1321" s="17" t="s">
        <v>207</v>
      </c>
      <c r="K1321" s="17" t="s">
        <v>208</v>
      </c>
      <c r="L1321" s="17"/>
      <c r="M1321" s="17" t="s">
        <v>207</v>
      </c>
      <c r="N1321" s="52" t="s">
        <v>94</v>
      </c>
      <c r="O1321" s="17" t="s">
        <v>86</v>
      </c>
      <c r="P1321" s="17" t="s">
        <v>86</v>
      </c>
      <c r="Q1321" s="81" t="s">
        <v>15475</v>
      </c>
      <c r="R1321" s="11">
        <v>30.902923999999999</v>
      </c>
      <c r="S1321" s="11">
        <v>-87.314593000000002</v>
      </c>
      <c r="T1321" s="11" t="s">
        <v>15476</v>
      </c>
      <c r="U1321" s="11" t="s">
        <v>15477</v>
      </c>
      <c r="V1321" s="17" t="s">
        <v>15478</v>
      </c>
      <c r="W1321" s="17" t="s">
        <v>15479</v>
      </c>
      <c r="X1321" s="70"/>
      <c r="Y1321" s="70"/>
      <c r="Z1321" s="13">
        <v>32643</v>
      </c>
      <c r="AA1321" s="13"/>
      <c r="AB1321" s="13"/>
      <c r="AC1321" s="13"/>
      <c r="AD1321" s="86"/>
      <c r="AE1321" s="86"/>
      <c r="AF1321" s="70" t="s">
        <v>207</v>
      </c>
      <c r="AG1321" s="14" t="s">
        <v>207</v>
      </c>
      <c r="AH1321" s="14" t="s">
        <v>207</v>
      </c>
      <c r="AI1321" s="70" t="s">
        <v>207</v>
      </c>
      <c r="AJ1321" s="14" t="s">
        <v>207</v>
      </c>
      <c r="AK1321" s="14" t="s">
        <v>207</v>
      </c>
      <c r="AL1321" s="14" t="s">
        <v>207</v>
      </c>
      <c r="AM1321" s="14" t="s">
        <v>207</v>
      </c>
      <c r="AN1321" s="14" t="s">
        <v>207</v>
      </c>
      <c r="AO1321" s="14" t="s">
        <v>207</v>
      </c>
      <c r="AP1321" s="14" t="s">
        <v>207</v>
      </c>
      <c r="AQ1321" s="14" t="s">
        <v>207</v>
      </c>
      <c r="AR1321" s="14" t="s">
        <v>207</v>
      </c>
      <c r="AS1321" s="14" t="s">
        <v>207</v>
      </c>
      <c r="AT1321" s="17" t="s">
        <v>94</v>
      </c>
      <c r="AU1321" s="30" t="s">
        <v>1843</v>
      </c>
      <c r="AV1321" s="14" t="s">
        <v>207</v>
      </c>
      <c r="AW1321" s="74"/>
      <c r="AX1321" s="1"/>
      <c r="AY1321" s="17" t="s">
        <v>101</v>
      </c>
    </row>
    <row r="1322" spans="1:51" ht="12.75" customHeight="1" x14ac:dyDescent="0.25">
      <c r="A1322" s="5">
        <v>1249</v>
      </c>
      <c r="B1322" s="9">
        <v>1249</v>
      </c>
      <c r="C1322" s="9" t="s">
        <v>15480</v>
      </c>
      <c r="D1322" s="57" t="str">
        <f>HYPERLINK("http://prodenv.dep.state.fl.us/DepNexus/public/electronic-documents/OG_1249/facility!search","OG_1249_Docs")</f>
        <v>OG_1249_Docs</v>
      </c>
      <c r="E1322" s="57" t="str">
        <f>HYPERLINK("https://ca.dep.state.fl.us/mapdirect/?focus=oilandgas&amp;zoom=query&amp;querytype=oilandgas&amp;queryvalues=OG_1249","OG_1249_Map")</f>
        <v>OG_1249_Map</v>
      </c>
      <c r="F1322" s="1" t="s">
        <v>1797</v>
      </c>
      <c r="G1322" s="1" t="s">
        <v>5133</v>
      </c>
      <c r="H1322" s="1" t="s">
        <v>15193</v>
      </c>
      <c r="I1322" s="1" t="s">
        <v>15481</v>
      </c>
      <c r="J1322" s="17" t="s">
        <v>268</v>
      </c>
      <c r="K1322" s="17" t="s">
        <v>6671</v>
      </c>
      <c r="L1322" s="17"/>
      <c r="M1322" s="17" t="s">
        <v>101</v>
      </c>
      <c r="N1322" s="52" t="s">
        <v>15482</v>
      </c>
      <c r="O1322" s="17" t="s">
        <v>86</v>
      </c>
      <c r="P1322" s="17" t="s">
        <v>86</v>
      </c>
      <c r="Q1322" s="81" t="s">
        <v>6436</v>
      </c>
      <c r="R1322" s="11">
        <v>30.97738</v>
      </c>
      <c r="S1322" s="11">
        <v>-87.173253000000003</v>
      </c>
      <c r="T1322" s="11" t="s">
        <v>15483</v>
      </c>
      <c r="U1322" s="11" t="s">
        <v>15484</v>
      </c>
      <c r="V1322" s="17" t="s">
        <v>15485</v>
      </c>
      <c r="W1322" s="17" t="s">
        <v>15486</v>
      </c>
      <c r="X1322" s="70">
        <v>235</v>
      </c>
      <c r="Y1322" s="70">
        <v>210</v>
      </c>
      <c r="Z1322" s="13">
        <v>32608</v>
      </c>
      <c r="AA1322" s="13">
        <v>32661</v>
      </c>
      <c r="AB1322" s="13">
        <v>32724</v>
      </c>
      <c r="AC1322" s="13">
        <v>39994</v>
      </c>
      <c r="AD1322" s="86">
        <v>15735</v>
      </c>
      <c r="AE1322" s="86">
        <v>15735</v>
      </c>
      <c r="AF1322" s="70" t="s">
        <v>3172</v>
      </c>
      <c r="AG1322" s="17" t="s">
        <v>15487</v>
      </c>
      <c r="AH1322" s="17" t="s">
        <v>86</v>
      </c>
      <c r="AI1322" s="70" t="s">
        <v>15488</v>
      </c>
      <c r="AJ1322" s="17" t="s">
        <v>15489</v>
      </c>
      <c r="AK1322" s="17" t="s">
        <v>95</v>
      </c>
      <c r="AL1322" s="17" t="s">
        <v>825</v>
      </c>
      <c r="AM1322" s="17" t="s">
        <v>825</v>
      </c>
      <c r="AN1322" s="17" t="s">
        <v>86</v>
      </c>
      <c r="AO1322" s="17" t="s">
        <v>15490</v>
      </c>
      <c r="AP1322" s="17" t="s">
        <v>15491</v>
      </c>
      <c r="AQ1322" s="17" t="s">
        <v>15492</v>
      </c>
      <c r="AR1322" s="17" t="s">
        <v>15493</v>
      </c>
      <c r="AS1322" s="17" t="s">
        <v>15494</v>
      </c>
      <c r="AT1322" s="17">
        <v>249</v>
      </c>
      <c r="AU1322" s="30" t="s">
        <v>15495</v>
      </c>
      <c r="AV1322" s="14">
        <v>16369</v>
      </c>
      <c r="AW1322" s="74"/>
      <c r="AX1322" s="1" t="s">
        <v>15496</v>
      </c>
      <c r="AY1322" s="17" t="s">
        <v>101</v>
      </c>
    </row>
    <row r="1323" spans="1:51" ht="12.75" customHeight="1" x14ac:dyDescent="0.25">
      <c r="A1323" s="5">
        <v>1250</v>
      </c>
      <c r="B1323" s="9">
        <v>1250</v>
      </c>
      <c r="C1323" s="9" t="s">
        <v>15497</v>
      </c>
      <c r="D1323" s="57" t="str">
        <f>HYPERLINK("http://prodenv.dep.state.fl.us/DepNexus/public/electronic-documents/OG_1250/facility!search","OG_1250_Docs")</f>
        <v>OG_1250_Docs</v>
      </c>
      <c r="E1323" s="57" t="str">
        <f>HYPERLINK("https://ca.dep.state.fl.us/mapdirect/?focus=oilandgas&amp;zoom=query&amp;querytype=oilandgas&amp;queryvalues=OG_1250","OG_1250_Map")</f>
        <v>OG_1250_Map</v>
      </c>
      <c r="F1323" s="1" t="s">
        <v>1682</v>
      </c>
      <c r="G1323" s="1" t="s">
        <v>79</v>
      </c>
      <c r="H1323" s="1" t="s">
        <v>15228</v>
      </c>
      <c r="I1323" s="1" t="s">
        <v>15498</v>
      </c>
      <c r="J1323" s="17" t="s">
        <v>82</v>
      </c>
      <c r="K1323" s="17" t="s">
        <v>83</v>
      </c>
      <c r="L1323" s="17"/>
      <c r="M1323" s="17"/>
      <c r="N1323" s="52" t="s">
        <v>15499</v>
      </c>
      <c r="O1323" s="17" t="s">
        <v>86</v>
      </c>
      <c r="P1323" s="17" t="s">
        <v>86</v>
      </c>
      <c r="Q1323" s="81" t="s">
        <v>15500</v>
      </c>
      <c r="R1323" s="11">
        <v>30.874552000000001</v>
      </c>
      <c r="S1323" s="11">
        <v>-87.458166000000006</v>
      </c>
      <c r="T1323" s="11" t="s">
        <v>15501</v>
      </c>
      <c r="U1323" s="11" t="s">
        <v>15502</v>
      </c>
      <c r="V1323" s="17" t="s">
        <v>15503</v>
      </c>
      <c r="W1323" s="17" t="s">
        <v>15504</v>
      </c>
      <c r="X1323" s="70">
        <v>274</v>
      </c>
      <c r="Y1323" s="70">
        <v>244</v>
      </c>
      <c r="Z1323" s="13">
        <v>32652</v>
      </c>
      <c r="AA1323" s="13">
        <v>32682</v>
      </c>
      <c r="AB1323" s="13">
        <v>32731</v>
      </c>
      <c r="AC1323" s="13">
        <v>32731</v>
      </c>
      <c r="AD1323" s="86">
        <v>17500</v>
      </c>
      <c r="AE1323" s="86">
        <v>17500</v>
      </c>
      <c r="AF1323" s="70" t="s">
        <v>11383</v>
      </c>
      <c r="AG1323" s="17" t="s">
        <v>15505</v>
      </c>
      <c r="AH1323" s="17" t="s">
        <v>86</v>
      </c>
      <c r="AI1323" s="70" t="s">
        <v>86</v>
      </c>
      <c r="AJ1323" s="17" t="s">
        <v>86</v>
      </c>
      <c r="AK1323" s="17" t="s">
        <v>825</v>
      </c>
      <c r="AL1323" s="17" t="s">
        <v>15506</v>
      </c>
      <c r="AM1323" s="17" t="s">
        <v>95</v>
      </c>
      <c r="AN1323" s="17" t="s">
        <v>825</v>
      </c>
      <c r="AO1323" s="17" t="s">
        <v>98</v>
      </c>
      <c r="AP1323" s="17" t="s">
        <v>98</v>
      </c>
      <c r="AQ1323" s="17" t="s">
        <v>98</v>
      </c>
      <c r="AR1323" s="17" t="s">
        <v>86</v>
      </c>
      <c r="AS1323" s="17" t="s">
        <v>15507</v>
      </c>
      <c r="AT1323" s="17">
        <v>257</v>
      </c>
      <c r="AU1323" s="30" t="s">
        <v>15508</v>
      </c>
      <c r="AV1323" s="14">
        <v>16506</v>
      </c>
      <c r="AW1323" s="74"/>
      <c r="AX1323" s="1"/>
      <c r="AY1323" s="17" t="s">
        <v>101</v>
      </c>
    </row>
    <row r="1324" spans="1:51" ht="15" customHeight="1" x14ac:dyDescent="0.25">
      <c r="A1324" s="5">
        <v>1251</v>
      </c>
      <c r="B1324" s="9">
        <v>1251</v>
      </c>
      <c r="C1324" s="9" t="s">
        <v>15509</v>
      </c>
      <c r="D1324" s="57" t="str">
        <f>HYPERLINK("http://prodenv.dep.state.fl.us/DepNexus/public/electronic-documents/OG_1251/facility!search","OG_1251_Docs")</f>
        <v>OG_1251_Docs</v>
      </c>
      <c r="E1324" s="57" t="str">
        <f>HYPERLINK("https://ca.dep.state.fl.us/mapdirect/?focus=oilandgas&amp;zoom=query&amp;querytype=oilandgas&amp;queryvalues=OG_1251","OG_1251_Map")</f>
        <v>OG_1251_Map</v>
      </c>
      <c r="F1324" s="1" t="s">
        <v>1797</v>
      </c>
      <c r="G1324" s="1" t="s">
        <v>15103</v>
      </c>
      <c r="H1324" s="1" t="s">
        <v>15510</v>
      </c>
      <c r="I1324" s="1" t="s">
        <v>15511</v>
      </c>
      <c r="J1324" s="17" t="s">
        <v>207</v>
      </c>
      <c r="K1324" s="17" t="s">
        <v>15512</v>
      </c>
      <c r="L1324" s="17"/>
      <c r="M1324" s="17" t="s">
        <v>207</v>
      </c>
      <c r="N1324" s="52" t="s">
        <v>94</v>
      </c>
      <c r="O1324" s="17" t="s">
        <v>86</v>
      </c>
      <c r="P1324" s="17" t="s">
        <v>86</v>
      </c>
      <c r="Q1324" s="81" t="s">
        <v>9195</v>
      </c>
      <c r="R1324" s="11">
        <v>30.934449999999998</v>
      </c>
      <c r="S1324" s="11">
        <v>-87.102149999999995</v>
      </c>
      <c r="T1324" s="11" t="s">
        <v>15513</v>
      </c>
      <c r="U1324" s="11" t="s">
        <v>15514</v>
      </c>
      <c r="V1324" s="17" t="s">
        <v>15515</v>
      </c>
      <c r="W1324" s="17" t="s">
        <v>15516</v>
      </c>
      <c r="X1324" s="70"/>
      <c r="Y1324" s="70"/>
      <c r="Z1324" s="13"/>
      <c r="AA1324" s="13"/>
      <c r="AB1324" s="13"/>
      <c r="AC1324" s="13"/>
      <c r="AD1324" s="86"/>
      <c r="AE1324" s="86"/>
      <c r="AF1324" s="70" t="s">
        <v>94</v>
      </c>
      <c r="AG1324" s="17" t="s">
        <v>94</v>
      </c>
      <c r="AH1324" s="17" t="s">
        <v>94</v>
      </c>
      <c r="AI1324" s="70" t="s">
        <v>94</v>
      </c>
      <c r="AJ1324" s="17" t="s">
        <v>94</v>
      </c>
      <c r="AK1324" s="17" t="s">
        <v>94</v>
      </c>
      <c r="AL1324" s="17" t="s">
        <v>94</v>
      </c>
      <c r="AM1324" s="17" t="s">
        <v>94</v>
      </c>
      <c r="AN1324" s="17" t="s">
        <v>94</v>
      </c>
      <c r="AO1324" s="17" t="s">
        <v>207</v>
      </c>
      <c r="AP1324" s="17" t="s">
        <v>207</v>
      </c>
      <c r="AQ1324" s="17" t="s">
        <v>207</v>
      </c>
      <c r="AR1324" s="17" t="s">
        <v>94</v>
      </c>
      <c r="AS1324" s="17" t="s">
        <v>94</v>
      </c>
      <c r="AT1324" s="17" t="s">
        <v>94</v>
      </c>
      <c r="AU1324" s="30" t="s">
        <v>13506</v>
      </c>
      <c r="AV1324" s="14" t="s">
        <v>94</v>
      </c>
      <c r="AW1324" s="74"/>
      <c r="AX1324" s="1" t="s">
        <v>15517</v>
      </c>
      <c r="AY1324" s="17" t="s">
        <v>101</v>
      </c>
    </row>
    <row r="1325" spans="1:51" ht="12.75" customHeight="1" x14ac:dyDescent="0.25">
      <c r="A1325" s="5">
        <v>1251.0999999999999</v>
      </c>
      <c r="B1325" s="9" t="s">
        <v>15518</v>
      </c>
      <c r="C1325" s="9" t="s">
        <v>15509</v>
      </c>
      <c r="D1325" s="57" t="str">
        <f>HYPERLINK("http://prodenv.dep.state.fl.us/DepNexus/public/electronic-documents/OG_1251/facility!search","OG_1251_Docs")</f>
        <v>OG_1251_Docs</v>
      </c>
      <c r="E1325" s="57" t="str">
        <f>HYPERLINK("https://ca.dep.state.fl.us/mapdirect/?focus=oilandgas&amp;zoom=query&amp;querytype=oilandgas&amp;queryvalues=OG_1251","OG_1251_Map")</f>
        <v>OG_1251_Map</v>
      </c>
      <c r="F1325" s="1" t="s">
        <v>1797</v>
      </c>
      <c r="G1325" s="1" t="s">
        <v>15103</v>
      </c>
      <c r="H1325" s="1" t="s">
        <v>15104</v>
      </c>
      <c r="I1325" s="1" t="s">
        <v>15511</v>
      </c>
      <c r="J1325" s="17" t="s">
        <v>268</v>
      </c>
      <c r="K1325" s="17" t="s">
        <v>1365</v>
      </c>
      <c r="L1325" s="17"/>
      <c r="M1325" s="17"/>
      <c r="N1325" s="52" t="s">
        <v>86</v>
      </c>
      <c r="O1325" s="17" t="s">
        <v>86</v>
      </c>
      <c r="P1325" s="17" t="s">
        <v>86</v>
      </c>
      <c r="Q1325" s="81" t="s">
        <v>9195</v>
      </c>
      <c r="R1325" s="11">
        <v>30.934449999999998</v>
      </c>
      <c r="S1325" s="11">
        <v>-87.102149999999995</v>
      </c>
      <c r="T1325" s="11" t="s">
        <v>15513</v>
      </c>
      <c r="U1325" s="11" t="s">
        <v>15514</v>
      </c>
      <c r="V1325" s="17" t="s">
        <v>15515</v>
      </c>
      <c r="W1325" s="17" t="s">
        <v>15516</v>
      </c>
      <c r="X1325" s="70"/>
      <c r="Y1325" s="70"/>
      <c r="Z1325" s="13">
        <v>32771</v>
      </c>
      <c r="AA1325" s="13">
        <v>27083</v>
      </c>
      <c r="AB1325" s="13">
        <v>27152</v>
      </c>
      <c r="AC1325" s="13">
        <v>35219</v>
      </c>
      <c r="AD1325" s="86">
        <v>6011</v>
      </c>
      <c r="AE1325" s="86">
        <v>6011</v>
      </c>
      <c r="AF1325" s="70" t="s">
        <v>94</v>
      </c>
      <c r="AG1325" s="17" t="s">
        <v>15519</v>
      </c>
      <c r="AH1325" s="17" t="s">
        <v>94</v>
      </c>
      <c r="AI1325" s="70" t="s">
        <v>15520</v>
      </c>
      <c r="AJ1325" s="17" t="s">
        <v>15521</v>
      </c>
      <c r="AK1325" s="17" t="s">
        <v>94</v>
      </c>
      <c r="AL1325" s="17" t="s">
        <v>94</v>
      </c>
      <c r="AM1325" s="17" t="s">
        <v>94</v>
      </c>
      <c r="AN1325" s="17" t="s">
        <v>94</v>
      </c>
      <c r="AO1325" s="17" t="s">
        <v>94</v>
      </c>
      <c r="AP1325" s="17" t="s">
        <v>94</v>
      </c>
      <c r="AQ1325" s="17" t="s">
        <v>94</v>
      </c>
      <c r="AR1325" s="17" t="s">
        <v>15522</v>
      </c>
      <c r="AS1325" s="17" t="s">
        <v>15523</v>
      </c>
      <c r="AT1325" s="17" t="s">
        <v>94</v>
      </c>
      <c r="AU1325" s="30" t="s">
        <v>9202</v>
      </c>
      <c r="AV1325" s="14" t="s">
        <v>94</v>
      </c>
      <c r="AW1325" s="74"/>
      <c r="AX1325" s="1" t="s">
        <v>15524</v>
      </c>
      <c r="AY1325" s="17" t="s">
        <v>101</v>
      </c>
    </row>
    <row r="1326" spans="1:51" ht="12.75" customHeight="1" x14ac:dyDescent="0.25">
      <c r="A1326" s="5">
        <v>1252</v>
      </c>
      <c r="B1326" s="9">
        <v>1252</v>
      </c>
      <c r="C1326" s="9" t="s">
        <v>15525</v>
      </c>
      <c r="D1326" s="57" t="str">
        <f>HYPERLINK("http://prodenv.dep.state.fl.us/DepNexus/public/electronic-documents/OG_1252/facility!search","OG_1252_Docs")</f>
        <v>OG_1252_Docs</v>
      </c>
      <c r="E1326" s="57" t="str">
        <f>HYPERLINK("https://ca.dep.state.fl.us/mapdirect/?focus=oilandgas&amp;zoom=query&amp;querytype=oilandgas&amp;queryvalues=OG_1252","OG_1252_Map")</f>
        <v>OG_1252_Map</v>
      </c>
      <c r="F1326" s="1" t="s">
        <v>1797</v>
      </c>
      <c r="G1326" s="1" t="s">
        <v>79</v>
      </c>
      <c r="H1326" s="1" t="s">
        <v>15526</v>
      </c>
      <c r="I1326" s="1" t="s">
        <v>15527</v>
      </c>
      <c r="J1326" s="17" t="s">
        <v>82</v>
      </c>
      <c r="K1326" s="17" t="s">
        <v>83</v>
      </c>
      <c r="L1326" s="17"/>
      <c r="M1326" s="17"/>
      <c r="N1326" s="52" t="s">
        <v>15528</v>
      </c>
      <c r="O1326" s="17" t="s">
        <v>86</v>
      </c>
      <c r="P1326" s="17" t="s">
        <v>86</v>
      </c>
      <c r="Q1326" s="81" t="s">
        <v>15529</v>
      </c>
      <c r="R1326" s="11">
        <v>30.935763999999999</v>
      </c>
      <c r="S1326" s="11">
        <v>-86.890703999999999</v>
      </c>
      <c r="T1326" s="11" t="s">
        <v>15530</v>
      </c>
      <c r="U1326" s="11" t="s">
        <v>15531</v>
      </c>
      <c r="V1326" s="17" t="s">
        <v>7244</v>
      </c>
      <c r="W1326" s="17" t="s">
        <v>15532</v>
      </c>
      <c r="X1326" s="70">
        <v>276</v>
      </c>
      <c r="Y1326" s="70">
        <v>250</v>
      </c>
      <c r="Z1326" s="13">
        <v>32728</v>
      </c>
      <c r="AA1326" s="13">
        <v>32746</v>
      </c>
      <c r="AB1326" s="13"/>
      <c r="AC1326" s="13">
        <v>32790</v>
      </c>
      <c r="AD1326" s="86">
        <v>14970</v>
      </c>
      <c r="AE1326" s="86">
        <v>14970</v>
      </c>
      <c r="AF1326" s="70" t="s">
        <v>12997</v>
      </c>
      <c r="AG1326" s="17" t="s">
        <v>15533</v>
      </c>
      <c r="AH1326" s="17" t="s">
        <v>86</v>
      </c>
      <c r="AI1326" s="70" t="s">
        <v>86</v>
      </c>
      <c r="AJ1326" s="17" t="s">
        <v>86</v>
      </c>
      <c r="AK1326" s="17" t="s">
        <v>825</v>
      </c>
      <c r="AL1326" s="17" t="s">
        <v>86</v>
      </c>
      <c r="AM1326" s="17" t="s">
        <v>825</v>
      </c>
      <c r="AN1326" s="17" t="s">
        <v>86</v>
      </c>
      <c r="AO1326" s="17" t="s">
        <v>98</v>
      </c>
      <c r="AP1326" s="17" t="s">
        <v>98</v>
      </c>
      <c r="AQ1326" s="17" t="s">
        <v>98</v>
      </c>
      <c r="AR1326" s="17" t="s">
        <v>86</v>
      </c>
      <c r="AS1326" s="17" t="s">
        <v>15534</v>
      </c>
      <c r="AT1326" s="17">
        <v>248</v>
      </c>
      <c r="AU1326" s="30" t="s">
        <v>15535</v>
      </c>
      <c r="AV1326" s="14" t="s">
        <v>94</v>
      </c>
      <c r="AW1326" s="74"/>
      <c r="AX1326" s="1"/>
      <c r="AY1326" s="17" t="s">
        <v>101</v>
      </c>
    </row>
    <row r="1327" spans="1:51" ht="12.75" customHeight="1" x14ac:dyDescent="0.25">
      <c r="A1327" s="5">
        <v>1253</v>
      </c>
      <c r="B1327" s="9">
        <v>1253</v>
      </c>
      <c r="C1327" s="9" t="s">
        <v>15536</v>
      </c>
      <c r="D1327" s="57" t="str">
        <f>HYPERLINK("http://prodenv.dep.state.fl.us/DepNexus/public/electronic-documents/OG_1253/facility!search","OG_1253_Docs")</f>
        <v>OG_1253_Docs</v>
      </c>
      <c r="E1327" s="57" t="str">
        <f>HYPERLINK("https://ca.dep.state.fl.us/mapdirect/?focus=oilandgas&amp;zoom=query&amp;querytype=oilandgas&amp;queryvalues=OG_1253","OG_1253_Map")</f>
        <v>OG_1253_Map</v>
      </c>
      <c r="F1327" s="1" t="s">
        <v>829</v>
      </c>
      <c r="G1327" s="1" t="s">
        <v>79</v>
      </c>
      <c r="H1327" s="1" t="s">
        <v>15526</v>
      </c>
      <c r="I1327" s="1" t="s">
        <v>15537</v>
      </c>
      <c r="J1327" s="17" t="s">
        <v>82</v>
      </c>
      <c r="K1327" s="17" t="s">
        <v>83</v>
      </c>
      <c r="L1327" s="17"/>
      <c r="M1327" s="17" t="s">
        <v>101</v>
      </c>
      <c r="N1327" s="52" t="s">
        <v>15538</v>
      </c>
      <c r="O1327" s="17" t="s">
        <v>1962</v>
      </c>
      <c r="P1327" s="17" t="s">
        <v>86</v>
      </c>
      <c r="Q1327" s="81" t="s">
        <v>15539</v>
      </c>
      <c r="R1327" s="11">
        <v>30.989477000000001</v>
      </c>
      <c r="S1327" s="11">
        <v>-86.774749999999997</v>
      </c>
      <c r="T1327" s="11" t="s">
        <v>15540</v>
      </c>
      <c r="U1327" s="11" t="s">
        <v>15541</v>
      </c>
      <c r="V1327" s="17" t="s">
        <v>15542</v>
      </c>
      <c r="W1327" s="17" t="s">
        <v>15543</v>
      </c>
      <c r="X1327" s="70">
        <v>224</v>
      </c>
      <c r="Y1327" s="70">
        <v>202</v>
      </c>
      <c r="Z1327" s="13">
        <v>32728</v>
      </c>
      <c r="AA1327" s="13">
        <v>32761</v>
      </c>
      <c r="AB1327" s="13"/>
      <c r="AC1327" s="13">
        <v>32791</v>
      </c>
      <c r="AD1327" s="86">
        <v>14105</v>
      </c>
      <c r="AE1327" s="86">
        <v>14105</v>
      </c>
      <c r="AF1327" s="70" t="s">
        <v>11349</v>
      </c>
      <c r="AG1327" s="17" t="s">
        <v>15544</v>
      </c>
      <c r="AH1327" s="17" t="s">
        <v>86</v>
      </c>
      <c r="AI1327" s="70" t="s">
        <v>86</v>
      </c>
      <c r="AJ1327" s="17" t="s">
        <v>86</v>
      </c>
      <c r="AK1327" s="17" t="s">
        <v>95</v>
      </c>
      <c r="AL1327" s="17" t="s">
        <v>825</v>
      </c>
      <c r="AM1327" s="17" t="s">
        <v>825</v>
      </c>
      <c r="AN1327" s="17" t="s">
        <v>86</v>
      </c>
      <c r="AO1327" s="17" t="s">
        <v>98</v>
      </c>
      <c r="AP1327" s="17" t="s">
        <v>98</v>
      </c>
      <c r="AQ1327" s="17" t="s">
        <v>98</v>
      </c>
      <c r="AR1327" s="17" t="s">
        <v>86</v>
      </c>
      <c r="AS1327" s="17" t="s">
        <v>15545</v>
      </c>
      <c r="AT1327" s="17">
        <v>231</v>
      </c>
      <c r="AU1327" s="30" t="s">
        <v>15546</v>
      </c>
      <c r="AV1327" s="14">
        <v>16503</v>
      </c>
      <c r="AW1327" s="74"/>
      <c r="AX1327" s="1"/>
      <c r="AY1327" s="17" t="s">
        <v>101</v>
      </c>
    </row>
    <row r="1328" spans="1:51" ht="12.75" customHeight="1" x14ac:dyDescent="0.25">
      <c r="A1328" s="5">
        <v>1254</v>
      </c>
      <c r="B1328" s="9">
        <v>1254</v>
      </c>
      <c r="C1328" s="9" t="s">
        <v>15547</v>
      </c>
      <c r="D1328" s="57" t="str">
        <f>HYPERLINK("http://prodenv.dep.state.fl.us/DepNexus/public/electronic-documents/OG_1254/facility!search","OG_1254_Docs")</f>
        <v>OG_1254_Docs</v>
      </c>
      <c r="E1328" s="57" t="str">
        <f>HYPERLINK("https://ca.dep.state.fl.us/mapdirect/?focus=oilandgas&amp;zoom=query&amp;querytype=oilandgas&amp;queryvalues=OG_1254","OG_1254_Map")</f>
        <v>OG_1254_Map</v>
      </c>
      <c r="F1328" s="1" t="s">
        <v>1797</v>
      </c>
      <c r="G1328" s="1" t="s">
        <v>79</v>
      </c>
      <c r="H1328" s="1" t="s">
        <v>15548</v>
      </c>
      <c r="I1328" s="1" t="s">
        <v>15549</v>
      </c>
      <c r="J1328" s="17" t="s">
        <v>82</v>
      </c>
      <c r="K1328" s="17" t="s">
        <v>83</v>
      </c>
      <c r="L1328" s="17"/>
      <c r="M1328" s="17" t="s">
        <v>84</v>
      </c>
      <c r="N1328" s="52" t="s">
        <v>15550</v>
      </c>
      <c r="O1328" s="17" t="s">
        <v>86</v>
      </c>
      <c r="P1328" s="17" t="s">
        <v>86</v>
      </c>
      <c r="Q1328" s="81" t="s">
        <v>15551</v>
      </c>
      <c r="R1328" s="11">
        <v>30.680720000000001</v>
      </c>
      <c r="S1328" s="11">
        <v>-86.805137999999999</v>
      </c>
      <c r="T1328" s="11" t="s">
        <v>15552</v>
      </c>
      <c r="U1328" s="11" t="s">
        <v>15553</v>
      </c>
      <c r="V1328" s="17" t="s">
        <v>15554</v>
      </c>
      <c r="W1328" s="17" t="s">
        <v>15555</v>
      </c>
      <c r="X1328" s="70">
        <v>119</v>
      </c>
      <c r="Y1328" s="70">
        <v>98</v>
      </c>
      <c r="Z1328" s="13">
        <v>32777</v>
      </c>
      <c r="AA1328" s="13">
        <v>32872</v>
      </c>
      <c r="AB1328" s="13"/>
      <c r="AC1328" s="13">
        <v>32959</v>
      </c>
      <c r="AD1328" s="86">
        <v>15849</v>
      </c>
      <c r="AE1328" s="86">
        <v>15849</v>
      </c>
      <c r="AF1328" s="70" t="s">
        <v>11383</v>
      </c>
      <c r="AG1328" s="17" t="s">
        <v>11261</v>
      </c>
      <c r="AH1328" s="17" t="s">
        <v>86</v>
      </c>
      <c r="AI1328" s="70" t="s">
        <v>86</v>
      </c>
      <c r="AJ1328" s="17" t="s">
        <v>86</v>
      </c>
      <c r="AK1328" s="17" t="s">
        <v>95</v>
      </c>
      <c r="AL1328" s="17"/>
      <c r="AM1328" s="17" t="s">
        <v>95</v>
      </c>
      <c r="AN1328" s="17" t="s">
        <v>86</v>
      </c>
      <c r="AO1328" s="17" t="s">
        <v>98</v>
      </c>
      <c r="AP1328" s="17" t="s">
        <v>98</v>
      </c>
      <c r="AQ1328" s="17" t="s">
        <v>98</v>
      </c>
      <c r="AR1328" s="17" t="s">
        <v>86</v>
      </c>
      <c r="AS1328" s="17" t="s">
        <v>15556</v>
      </c>
      <c r="AT1328" s="17">
        <v>250</v>
      </c>
      <c r="AU1328" s="30" t="s">
        <v>15557</v>
      </c>
      <c r="AV1328" s="14">
        <v>16521</v>
      </c>
      <c r="AW1328" s="74"/>
      <c r="AX1328" s="1"/>
      <c r="AY1328" s="17" t="s">
        <v>101</v>
      </c>
    </row>
    <row r="1329" spans="1:51" ht="12.75" customHeight="1" x14ac:dyDescent="0.25">
      <c r="A1329" s="5">
        <v>1255</v>
      </c>
      <c r="B1329" s="9">
        <v>1255</v>
      </c>
      <c r="C1329" s="9" t="s">
        <v>15558</v>
      </c>
      <c r="D1329" s="57" t="str">
        <f>HYPERLINK("http://prodenv.dep.state.fl.us/DepNexus/public/electronic-documents/OG_1255/facility!search","OG_1255_Docs")</f>
        <v>OG_1255_Docs</v>
      </c>
      <c r="E1329" s="57" t="str">
        <f>HYPERLINK("https://ca.dep.state.fl.us/mapdirect/?focus=oilandgas&amp;zoom=query&amp;querytype=oilandgas&amp;queryvalues=OG_1255","OG_1255_Map")</f>
        <v>OG_1255_Map</v>
      </c>
      <c r="F1329" s="1" t="s">
        <v>1797</v>
      </c>
      <c r="G1329" s="1" t="s">
        <v>79</v>
      </c>
      <c r="H1329" s="1" t="s">
        <v>15559</v>
      </c>
      <c r="I1329" s="1" t="s">
        <v>15560</v>
      </c>
      <c r="J1329" s="17" t="s">
        <v>207</v>
      </c>
      <c r="K1329" s="17" t="s">
        <v>14534</v>
      </c>
      <c r="L1329" s="17"/>
      <c r="M1329" s="17" t="s">
        <v>207</v>
      </c>
      <c r="N1329" s="52" t="s">
        <v>94</v>
      </c>
      <c r="O1329" s="17" t="s">
        <v>86</v>
      </c>
      <c r="P1329" s="17" t="s">
        <v>86</v>
      </c>
      <c r="Q1329" s="81" t="s">
        <v>15561</v>
      </c>
      <c r="R1329" s="11">
        <v>30.836410999999998</v>
      </c>
      <c r="S1329" s="11">
        <v>-86.886653999999993</v>
      </c>
      <c r="T1329" s="11" t="s">
        <v>15562</v>
      </c>
      <c r="U1329" s="11" t="s">
        <v>15563</v>
      </c>
      <c r="V1329" s="17" t="s">
        <v>1697</v>
      </c>
      <c r="W1329" s="17" t="s">
        <v>15564</v>
      </c>
      <c r="X1329" s="70"/>
      <c r="Y1329" s="70">
        <v>125</v>
      </c>
      <c r="Z1329" s="13"/>
      <c r="AA1329" s="13"/>
      <c r="AB1329" s="13"/>
      <c r="AC1329" s="13"/>
      <c r="AD1329" s="86"/>
      <c r="AE1329" s="86"/>
      <c r="AF1329" s="70" t="s">
        <v>207</v>
      </c>
      <c r="AG1329" s="14" t="s">
        <v>207</v>
      </c>
      <c r="AH1329" s="14" t="s">
        <v>207</v>
      </c>
      <c r="AI1329" s="70" t="s">
        <v>207</v>
      </c>
      <c r="AJ1329" s="14" t="s">
        <v>207</v>
      </c>
      <c r="AK1329" s="14" t="s">
        <v>207</v>
      </c>
      <c r="AL1329" s="14" t="s">
        <v>207</v>
      </c>
      <c r="AM1329" s="14" t="s">
        <v>207</v>
      </c>
      <c r="AN1329" s="14" t="s">
        <v>207</v>
      </c>
      <c r="AO1329" s="14" t="s">
        <v>207</v>
      </c>
      <c r="AP1329" s="14" t="s">
        <v>207</v>
      </c>
      <c r="AQ1329" s="14" t="s">
        <v>207</v>
      </c>
      <c r="AR1329" s="14" t="s">
        <v>207</v>
      </c>
      <c r="AS1329" s="14" t="s">
        <v>207</v>
      </c>
      <c r="AT1329" s="14" t="s">
        <v>207</v>
      </c>
      <c r="AU1329" s="30" t="s">
        <v>1843</v>
      </c>
      <c r="AV1329" s="14" t="s">
        <v>207</v>
      </c>
      <c r="AW1329" s="74"/>
      <c r="AX1329" s="1" t="s">
        <v>14534</v>
      </c>
      <c r="AY1329" s="17" t="s">
        <v>101</v>
      </c>
    </row>
    <row r="1330" spans="1:51" ht="12.75" customHeight="1" x14ac:dyDescent="0.25">
      <c r="A1330" s="5">
        <v>1256</v>
      </c>
      <c r="B1330" s="9">
        <v>1256</v>
      </c>
      <c r="C1330" s="9" t="s">
        <v>15565</v>
      </c>
      <c r="D1330" s="57" t="str">
        <f>HYPERLINK("http://prodenv.dep.state.fl.us/DepNexus/public/electronic-documents/OG_1256/facility!search","OG_1256_Docs")</f>
        <v>OG_1256_Docs</v>
      </c>
      <c r="E1330" s="57" t="str">
        <f>HYPERLINK("https://ca.dep.state.fl.us/mapdirect/?focus=oilandgas&amp;zoom=query&amp;querytype=oilandgas&amp;queryvalues=OG_1256","OG_1256_Map")</f>
        <v>OG_1256_Map</v>
      </c>
      <c r="F1330" s="1" t="s">
        <v>1797</v>
      </c>
      <c r="G1330" s="1" t="s">
        <v>79</v>
      </c>
      <c r="H1330" s="1" t="s">
        <v>15566</v>
      </c>
      <c r="I1330" s="1" t="s">
        <v>15567</v>
      </c>
      <c r="J1330" s="17" t="s">
        <v>207</v>
      </c>
      <c r="K1330" s="17" t="s">
        <v>208</v>
      </c>
      <c r="L1330" s="17"/>
      <c r="M1330" s="17" t="s">
        <v>207</v>
      </c>
      <c r="N1330" s="52" t="s">
        <v>15568</v>
      </c>
      <c r="O1330" s="17" t="s">
        <v>86</v>
      </c>
      <c r="P1330" s="17" t="s">
        <v>86</v>
      </c>
      <c r="Q1330" s="81" t="s">
        <v>15569</v>
      </c>
      <c r="R1330" s="11">
        <v>30.649259000000001</v>
      </c>
      <c r="S1330" s="11">
        <v>-86.846872000000005</v>
      </c>
      <c r="T1330" s="11" t="s">
        <v>15570</v>
      </c>
      <c r="U1330" s="11" t="s">
        <v>15571</v>
      </c>
      <c r="V1330" s="17" t="s">
        <v>15572</v>
      </c>
      <c r="W1330" s="17"/>
      <c r="X1330" s="70"/>
      <c r="Y1330" s="70"/>
      <c r="Z1330" s="13">
        <v>32853</v>
      </c>
      <c r="AA1330" s="13"/>
      <c r="AB1330" s="13"/>
      <c r="AC1330" s="13"/>
      <c r="AD1330" s="86"/>
      <c r="AE1330" s="86"/>
      <c r="AF1330" s="70" t="s">
        <v>207</v>
      </c>
      <c r="AG1330" s="14" t="s">
        <v>207</v>
      </c>
      <c r="AH1330" s="14" t="s">
        <v>207</v>
      </c>
      <c r="AI1330" s="70" t="s">
        <v>207</v>
      </c>
      <c r="AJ1330" s="14" t="s">
        <v>207</v>
      </c>
      <c r="AK1330" s="14" t="s">
        <v>207</v>
      </c>
      <c r="AL1330" s="14" t="s">
        <v>207</v>
      </c>
      <c r="AM1330" s="14" t="s">
        <v>207</v>
      </c>
      <c r="AN1330" s="14" t="s">
        <v>207</v>
      </c>
      <c r="AO1330" s="14" t="s">
        <v>207</v>
      </c>
      <c r="AP1330" s="14" t="s">
        <v>207</v>
      </c>
      <c r="AQ1330" s="14" t="s">
        <v>207</v>
      </c>
      <c r="AR1330" s="14" t="s">
        <v>207</v>
      </c>
      <c r="AS1330" s="17" t="s">
        <v>15573</v>
      </c>
      <c r="AT1330" s="17"/>
      <c r="AU1330" s="30" t="s">
        <v>15574</v>
      </c>
      <c r="AV1330" s="14" t="s">
        <v>98</v>
      </c>
      <c r="AW1330" s="74"/>
      <c r="AX1330" s="1" t="s">
        <v>15575</v>
      </c>
      <c r="AY1330" s="17" t="s">
        <v>101</v>
      </c>
    </row>
    <row r="1331" spans="1:51" ht="12.75" customHeight="1" x14ac:dyDescent="0.25">
      <c r="A1331" s="5">
        <v>1256.0999999999999</v>
      </c>
      <c r="B1331" s="9" t="s">
        <v>15576</v>
      </c>
      <c r="C1331" s="9" t="s">
        <v>15565</v>
      </c>
      <c r="D1331" s="57" t="str">
        <f>HYPERLINK("http://prodenv.dep.state.fl.us/DepNexus/public/electronic-documents/OG_1256/facility!search","OG_1256_Docs")</f>
        <v>OG_1256_Docs</v>
      </c>
      <c r="E1331" s="57" t="str">
        <f>HYPERLINK("https://ca.dep.state.fl.us/mapdirect/?focus=oilandgas&amp;zoom=query&amp;querytype=oilandgas&amp;queryvalues=OG_1256","OG_1256_Map")</f>
        <v>OG_1256_Map</v>
      </c>
      <c r="F1331" s="1" t="s">
        <v>1797</v>
      </c>
      <c r="G1331" s="1" t="s">
        <v>79</v>
      </c>
      <c r="H1331" s="1" t="s">
        <v>15566</v>
      </c>
      <c r="I1331" s="1" t="s">
        <v>15577</v>
      </c>
      <c r="J1331" s="17" t="s">
        <v>82</v>
      </c>
      <c r="K1331" s="17" t="s">
        <v>83</v>
      </c>
      <c r="L1331" s="17"/>
      <c r="M1331" s="17" t="s">
        <v>84</v>
      </c>
      <c r="N1331" s="52" t="s">
        <v>15578</v>
      </c>
      <c r="O1331" s="17" t="s">
        <v>86</v>
      </c>
      <c r="P1331" s="17" t="s">
        <v>86</v>
      </c>
      <c r="Q1331" s="81" t="s">
        <v>15569</v>
      </c>
      <c r="R1331" s="11">
        <v>30.649272</v>
      </c>
      <c r="S1331" s="11">
        <v>-86.847477999999995</v>
      </c>
      <c r="T1331" s="11" t="s">
        <v>15579</v>
      </c>
      <c r="U1331" s="11" t="s">
        <v>15580</v>
      </c>
      <c r="V1331" s="17" t="s">
        <v>15581</v>
      </c>
      <c r="W1331" s="17" t="s">
        <v>15582</v>
      </c>
      <c r="X1331" s="70">
        <v>162</v>
      </c>
      <c r="Y1331" s="70">
        <v>139</v>
      </c>
      <c r="Z1331" s="13">
        <v>32853</v>
      </c>
      <c r="AA1331" s="13">
        <v>32909</v>
      </c>
      <c r="AB1331" s="13"/>
      <c r="AC1331" s="13">
        <v>32973</v>
      </c>
      <c r="AD1331" s="70"/>
      <c r="AE1331" s="86">
        <v>15955</v>
      </c>
      <c r="AF1331" s="70" t="s">
        <v>15583</v>
      </c>
      <c r="AG1331" s="17" t="s">
        <v>15584</v>
      </c>
      <c r="AH1331" s="17" t="s">
        <v>12923</v>
      </c>
      <c r="AI1331" s="70" t="s">
        <v>86</v>
      </c>
      <c r="AJ1331" s="17" t="s">
        <v>86</v>
      </c>
      <c r="AK1331" s="17" t="s">
        <v>825</v>
      </c>
      <c r="AL1331" s="17" t="s">
        <v>825</v>
      </c>
      <c r="AM1331" s="17" t="s">
        <v>95</v>
      </c>
      <c r="AN1331" s="17" t="s">
        <v>86</v>
      </c>
      <c r="AO1331" s="17" t="s">
        <v>98</v>
      </c>
      <c r="AP1331" s="17" t="s">
        <v>98</v>
      </c>
      <c r="AQ1331" s="17" t="s">
        <v>98</v>
      </c>
      <c r="AR1331" s="17" t="s">
        <v>86</v>
      </c>
      <c r="AS1331" s="17" t="s">
        <v>15585</v>
      </c>
      <c r="AT1331" s="17">
        <v>245</v>
      </c>
      <c r="AU1331" s="30" t="s">
        <v>15586</v>
      </c>
      <c r="AV1331" s="14">
        <v>16625</v>
      </c>
      <c r="AW1331" s="74"/>
      <c r="AX1331" s="1"/>
      <c r="AY1331" s="17" t="s">
        <v>101</v>
      </c>
    </row>
    <row r="1332" spans="1:51" ht="12.75" customHeight="1" x14ac:dyDescent="0.25">
      <c r="A1332" s="5">
        <v>1257</v>
      </c>
      <c r="B1332" s="9">
        <v>1257</v>
      </c>
      <c r="C1332" s="9" t="s">
        <v>15587</v>
      </c>
      <c r="D1332" s="57" t="str">
        <f>HYPERLINK("http://prodenv.dep.state.fl.us/DepNexus/public/electronic-documents/OG_1257/facility!search","OG_1257_Docs")</f>
        <v>OG_1257_Docs</v>
      </c>
      <c r="E1332" s="57" t="str">
        <f>HYPERLINK("https://ca.dep.state.fl.us/mapdirect/?focus=oilandgas&amp;zoom=query&amp;querytype=oilandgas&amp;queryvalues=OG_1257","OG_1257_Map")</f>
        <v>OG_1257_Map</v>
      </c>
      <c r="F1332" s="1" t="s">
        <v>1797</v>
      </c>
      <c r="G1332" s="1" t="s">
        <v>6648</v>
      </c>
      <c r="H1332" s="1" t="s">
        <v>9572</v>
      </c>
      <c r="I1332" s="1" t="s">
        <v>15588</v>
      </c>
      <c r="J1332" s="17" t="s">
        <v>82</v>
      </c>
      <c r="K1332" s="17" t="s">
        <v>83</v>
      </c>
      <c r="L1332" s="17"/>
      <c r="M1332" s="17"/>
      <c r="N1332" s="52" t="s">
        <v>15589</v>
      </c>
      <c r="O1332" s="17" t="s">
        <v>86</v>
      </c>
      <c r="P1332" s="17" t="s">
        <v>86</v>
      </c>
      <c r="Q1332" s="81" t="s">
        <v>15590</v>
      </c>
      <c r="R1332" s="11">
        <v>30.852184000000001</v>
      </c>
      <c r="S1332" s="11">
        <v>-87.079472999999993</v>
      </c>
      <c r="T1332" s="11" t="s">
        <v>15591</v>
      </c>
      <c r="U1332" s="11" t="s">
        <v>15592</v>
      </c>
      <c r="V1332" s="17" t="s">
        <v>15593</v>
      </c>
      <c r="W1332" s="17" t="s">
        <v>15594</v>
      </c>
      <c r="X1332" s="70">
        <v>191</v>
      </c>
      <c r="Y1332" s="70">
        <v>176</v>
      </c>
      <c r="Z1332" s="13">
        <v>32814</v>
      </c>
      <c r="AA1332" s="13">
        <v>32848</v>
      </c>
      <c r="AB1332" s="13"/>
      <c r="AC1332" s="13">
        <v>32859</v>
      </c>
      <c r="AD1332" s="86">
        <v>6600</v>
      </c>
      <c r="AE1332" s="86">
        <v>6600</v>
      </c>
      <c r="AF1332" s="70" t="s">
        <v>15595</v>
      </c>
      <c r="AG1332" s="17" t="s">
        <v>15596</v>
      </c>
      <c r="AH1332" s="17" t="s">
        <v>86</v>
      </c>
      <c r="AI1332" s="70" t="s">
        <v>86</v>
      </c>
      <c r="AJ1332" s="17" t="s">
        <v>86</v>
      </c>
      <c r="AK1332" s="17" t="s">
        <v>95</v>
      </c>
      <c r="AL1332" s="17" t="s">
        <v>825</v>
      </c>
      <c r="AM1332" s="17" t="s">
        <v>95</v>
      </c>
      <c r="AN1332" s="17" t="s">
        <v>86</v>
      </c>
      <c r="AO1332" s="17" t="s">
        <v>98</v>
      </c>
      <c r="AP1332" s="17" t="s">
        <v>98</v>
      </c>
      <c r="AQ1332" s="17" t="s">
        <v>98</v>
      </c>
      <c r="AR1332" s="17" t="s">
        <v>86</v>
      </c>
      <c r="AS1332" s="17" t="s">
        <v>15597</v>
      </c>
      <c r="AT1332" s="17">
        <v>150</v>
      </c>
      <c r="AU1332" s="30" t="s">
        <v>15598</v>
      </c>
      <c r="AV1332" s="14">
        <v>16498</v>
      </c>
      <c r="AW1332" s="74"/>
      <c r="AX1332" s="1"/>
      <c r="AY1332" s="17" t="s">
        <v>101</v>
      </c>
    </row>
    <row r="1333" spans="1:51" ht="12.75" customHeight="1" x14ac:dyDescent="0.25">
      <c r="A1333" s="5">
        <v>1258</v>
      </c>
      <c r="B1333" s="9">
        <v>1258</v>
      </c>
      <c r="C1333" s="9" t="s">
        <v>15599</v>
      </c>
      <c r="D1333" s="57" t="str">
        <f>HYPERLINK("http://prodenv.dep.state.fl.us/DepNexus/public/electronic-documents/OG_1258/facility!search","OG_1258_Docs")</f>
        <v>OG_1258_Docs</v>
      </c>
      <c r="E1333" s="57" t="str">
        <f>HYPERLINK("https://ca.dep.state.fl.us/mapdirect/?focus=oilandgas&amp;zoom=query&amp;querytype=oilandgas&amp;queryvalues=OG_1258","OG_1258_Map")</f>
        <v>OG_1258_Map</v>
      </c>
      <c r="F1333" s="1" t="s">
        <v>1682</v>
      </c>
      <c r="G1333" s="1" t="s">
        <v>79</v>
      </c>
      <c r="H1333" s="1" t="s">
        <v>15193</v>
      </c>
      <c r="I1333" s="1" t="s">
        <v>15600</v>
      </c>
      <c r="J1333" s="17" t="s">
        <v>207</v>
      </c>
      <c r="K1333" s="17" t="s">
        <v>208</v>
      </c>
      <c r="L1333" s="17"/>
      <c r="M1333" s="17" t="s">
        <v>207</v>
      </c>
      <c r="N1333" s="52" t="s">
        <v>94</v>
      </c>
      <c r="O1333" s="17" t="s">
        <v>86</v>
      </c>
      <c r="P1333" s="17" t="s">
        <v>86</v>
      </c>
      <c r="Q1333" s="81" t="s">
        <v>15601</v>
      </c>
      <c r="R1333" s="11">
        <v>30.791737000000001</v>
      </c>
      <c r="S1333" s="11">
        <v>-87.324910000000003</v>
      </c>
      <c r="T1333" s="11" t="s">
        <v>15602</v>
      </c>
      <c r="U1333" s="11" t="s">
        <v>15603</v>
      </c>
      <c r="V1333" s="17" t="s">
        <v>15604</v>
      </c>
      <c r="W1333" s="17" t="s">
        <v>15605</v>
      </c>
      <c r="X1333" s="70"/>
      <c r="Y1333" s="70">
        <v>67</v>
      </c>
      <c r="Z1333" s="13">
        <v>32826</v>
      </c>
      <c r="AA1333" s="13"/>
      <c r="AB1333" s="13"/>
      <c r="AC1333" s="13"/>
      <c r="AD1333" s="86"/>
      <c r="AE1333" s="86"/>
      <c r="AF1333" s="70" t="s">
        <v>207</v>
      </c>
      <c r="AG1333" s="14" t="s">
        <v>207</v>
      </c>
      <c r="AH1333" s="14" t="s">
        <v>207</v>
      </c>
      <c r="AI1333" s="70" t="s">
        <v>207</v>
      </c>
      <c r="AJ1333" s="14" t="s">
        <v>207</v>
      </c>
      <c r="AK1333" s="14" t="s">
        <v>207</v>
      </c>
      <c r="AL1333" s="14" t="s">
        <v>207</v>
      </c>
      <c r="AM1333" s="14" t="s">
        <v>207</v>
      </c>
      <c r="AN1333" s="14" t="s">
        <v>207</v>
      </c>
      <c r="AO1333" s="14" t="s">
        <v>207</v>
      </c>
      <c r="AP1333" s="14" t="s">
        <v>207</v>
      </c>
      <c r="AQ1333" s="14" t="s">
        <v>207</v>
      </c>
      <c r="AR1333" s="14" t="s">
        <v>207</v>
      </c>
      <c r="AS1333" s="14" t="s">
        <v>207</v>
      </c>
      <c r="AT1333" s="14" t="s">
        <v>207</v>
      </c>
      <c r="AU1333" s="30" t="s">
        <v>1843</v>
      </c>
      <c r="AV1333" s="14" t="s">
        <v>207</v>
      </c>
      <c r="AW1333" s="74"/>
      <c r="AX1333" s="1"/>
      <c r="AY1333" s="17" t="s">
        <v>101</v>
      </c>
    </row>
    <row r="1334" spans="1:51" ht="12.75" customHeight="1" x14ac:dyDescent="0.25">
      <c r="A1334" s="5">
        <v>1259</v>
      </c>
      <c r="B1334" s="9">
        <v>1259</v>
      </c>
      <c r="C1334" s="9" t="s">
        <v>15606</v>
      </c>
      <c r="D1334" s="57" t="str">
        <f>HYPERLINK("http://prodenv.dep.state.fl.us/DepNexus/public/electronic-documents/OG_1259/facility!search","OG_1259_Docs")</f>
        <v>OG_1259_Docs</v>
      </c>
      <c r="E1334" s="57" t="str">
        <f>HYPERLINK("https://ca.dep.state.fl.us/mapdirect/?focus=oilandgas&amp;zoom=query&amp;querytype=oilandgas&amp;queryvalues=OG_1259","OG_1259_Map")</f>
        <v>OG_1259_Map</v>
      </c>
      <c r="F1334" s="1" t="s">
        <v>829</v>
      </c>
      <c r="G1334" s="1" t="s">
        <v>79</v>
      </c>
      <c r="H1334" s="1" t="s">
        <v>15607</v>
      </c>
      <c r="I1334" s="1" t="s">
        <v>15608</v>
      </c>
      <c r="J1334" s="17" t="s">
        <v>82</v>
      </c>
      <c r="K1334" s="17" t="s">
        <v>83</v>
      </c>
      <c r="L1334" s="17"/>
      <c r="M1334" s="17" t="s">
        <v>101</v>
      </c>
      <c r="N1334" s="52" t="s">
        <v>15609</v>
      </c>
      <c r="O1334" s="17" t="s">
        <v>86</v>
      </c>
      <c r="P1334" s="17" t="s">
        <v>86</v>
      </c>
      <c r="Q1334" s="81" t="s">
        <v>15610</v>
      </c>
      <c r="R1334" s="11">
        <v>30.916129999999999</v>
      </c>
      <c r="S1334" s="11">
        <v>-86.628011999999998</v>
      </c>
      <c r="T1334" s="11" t="s">
        <v>15611</v>
      </c>
      <c r="U1334" s="11" t="s">
        <v>15612</v>
      </c>
      <c r="V1334" s="17" t="s">
        <v>15613</v>
      </c>
      <c r="W1334" s="17" t="s">
        <v>15614</v>
      </c>
      <c r="X1334" s="70">
        <v>194</v>
      </c>
      <c r="Y1334" s="70">
        <v>173</v>
      </c>
      <c r="Z1334" s="13">
        <v>32841</v>
      </c>
      <c r="AA1334" s="13">
        <v>32847</v>
      </c>
      <c r="AB1334" s="13">
        <v>32885</v>
      </c>
      <c r="AC1334" s="13">
        <v>32888</v>
      </c>
      <c r="AD1334" s="86">
        <v>14000</v>
      </c>
      <c r="AE1334" s="86">
        <v>14000</v>
      </c>
      <c r="AF1334" s="70" t="s">
        <v>11383</v>
      </c>
      <c r="AG1334" s="17" t="s">
        <v>15615</v>
      </c>
      <c r="AH1334" s="17" t="s">
        <v>86</v>
      </c>
      <c r="AI1334" s="70" t="s">
        <v>86</v>
      </c>
      <c r="AJ1334" s="17" t="s">
        <v>86</v>
      </c>
      <c r="AK1334" s="17" t="s">
        <v>95</v>
      </c>
      <c r="AL1334" s="17" t="s">
        <v>15616</v>
      </c>
      <c r="AM1334" s="17" t="s">
        <v>95</v>
      </c>
      <c r="AN1334" s="17" t="s">
        <v>86</v>
      </c>
      <c r="AO1334" s="17" t="s">
        <v>98</v>
      </c>
      <c r="AP1334" s="17" t="s">
        <v>98</v>
      </c>
      <c r="AQ1334" s="17" t="s">
        <v>98</v>
      </c>
      <c r="AR1334" s="17" t="s">
        <v>86</v>
      </c>
      <c r="AS1334" s="17" t="s">
        <v>15617</v>
      </c>
      <c r="AT1334" s="17">
        <v>240</v>
      </c>
      <c r="AU1334" s="30" t="s">
        <v>15618</v>
      </c>
      <c r="AV1334" s="14">
        <v>16504</v>
      </c>
      <c r="AW1334" s="74"/>
      <c r="AX1334" s="1"/>
      <c r="AY1334" s="17" t="s">
        <v>101</v>
      </c>
    </row>
    <row r="1335" spans="1:51" ht="12.75" customHeight="1" x14ac:dyDescent="0.25">
      <c r="A1335" s="5">
        <v>1260</v>
      </c>
      <c r="B1335" s="9">
        <v>1260</v>
      </c>
      <c r="C1335" s="9" t="s">
        <v>15619</v>
      </c>
      <c r="D1335" s="57" t="str">
        <f>HYPERLINK("http://prodenv.dep.state.fl.us/DepNexus/public/electronic-documents/OG_1260/facility!search","OG_1260_Docs")</f>
        <v>OG_1260_Docs</v>
      </c>
      <c r="E1335" s="57" t="str">
        <f>HYPERLINK("https://ca.dep.state.fl.us/mapdirect/?focus=oilandgas&amp;zoom=query&amp;querytype=oilandgas&amp;queryvalues=OG_1260","OG_1260_Map")</f>
        <v>OG_1260_Map</v>
      </c>
      <c r="F1335" s="1" t="s">
        <v>1797</v>
      </c>
      <c r="G1335" s="1" t="s">
        <v>79</v>
      </c>
      <c r="H1335" s="1" t="s">
        <v>15607</v>
      </c>
      <c r="I1335" s="1" t="s">
        <v>15620</v>
      </c>
      <c r="J1335" s="17" t="s">
        <v>82</v>
      </c>
      <c r="K1335" s="17" t="s">
        <v>83</v>
      </c>
      <c r="L1335" s="17"/>
      <c r="M1335" s="17" t="s">
        <v>84</v>
      </c>
      <c r="N1335" s="52" t="s">
        <v>15621</v>
      </c>
      <c r="O1335" s="17" t="s">
        <v>86</v>
      </c>
      <c r="P1335" s="17" t="s">
        <v>86</v>
      </c>
      <c r="Q1335" s="81" t="s">
        <v>15622</v>
      </c>
      <c r="R1335" s="11">
        <v>30.674078999999999</v>
      </c>
      <c r="S1335" s="11">
        <v>-86.855255999999997</v>
      </c>
      <c r="T1335" s="11" t="s">
        <v>15623</v>
      </c>
      <c r="U1335" s="11" t="s">
        <v>15624</v>
      </c>
      <c r="V1335" s="17" t="s">
        <v>15625</v>
      </c>
      <c r="W1335" s="17" t="s">
        <v>15626</v>
      </c>
      <c r="X1335" s="70">
        <v>201</v>
      </c>
      <c r="Y1335" s="70">
        <v>171</v>
      </c>
      <c r="Z1335" s="13">
        <v>32847</v>
      </c>
      <c r="AA1335" s="13">
        <v>32896</v>
      </c>
      <c r="AB1335" s="13">
        <v>32934</v>
      </c>
      <c r="AC1335" s="13">
        <v>32934</v>
      </c>
      <c r="AD1335" s="86">
        <v>16200</v>
      </c>
      <c r="AE1335" s="86">
        <v>16200</v>
      </c>
      <c r="AF1335" s="70" t="s">
        <v>86</v>
      </c>
      <c r="AG1335" s="17" t="s">
        <v>14568</v>
      </c>
      <c r="AH1335" s="17" t="s">
        <v>86</v>
      </c>
      <c r="AI1335" s="70" t="s">
        <v>86</v>
      </c>
      <c r="AJ1335" s="17" t="s">
        <v>86</v>
      </c>
      <c r="AK1335" s="17" t="s">
        <v>95</v>
      </c>
      <c r="AL1335" s="17" t="s">
        <v>825</v>
      </c>
      <c r="AM1335" s="17" t="s">
        <v>825</v>
      </c>
      <c r="AN1335" s="17" t="s">
        <v>86</v>
      </c>
      <c r="AO1335" s="17" t="s">
        <v>98</v>
      </c>
      <c r="AP1335" s="17" t="s">
        <v>98</v>
      </c>
      <c r="AQ1335" s="17" t="s">
        <v>98</v>
      </c>
      <c r="AR1335" s="17" t="s">
        <v>86</v>
      </c>
      <c r="AS1335" s="17" t="s">
        <v>15627</v>
      </c>
      <c r="AT1335" s="17">
        <v>270</v>
      </c>
      <c r="AU1335" s="30" t="s">
        <v>15628</v>
      </c>
      <c r="AV1335" s="14">
        <v>16522</v>
      </c>
      <c r="AW1335" s="74"/>
      <c r="AX1335" s="1"/>
      <c r="AY1335" s="17" t="s">
        <v>101</v>
      </c>
    </row>
    <row r="1336" spans="1:51" ht="12.75" customHeight="1" x14ac:dyDescent="0.25">
      <c r="A1336" s="5">
        <v>1261</v>
      </c>
      <c r="B1336" s="9">
        <v>1261</v>
      </c>
      <c r="C1336" s="9" t="s">
        <v>15629</v>
      </c>
      <c r="D1336" s="57" t="str">
        <f>HYPERLINK("http://prodenv.dep.state.fl.us/DepNexus/public/electronic-documents/OG_1261/facility!search","OG_1261_Docs")</f>
        <v>OG_1261_Docs</v>
      </c>
      <c r="E1336" s="57" t="str">
        <f>HYPERLINK("https://ca.dep.state.fl.us/mapdirect/?focus=oilandgas&amp;zoom=query&amp;querytype=oilandgas&amp;queryvalues=OG_1261","OG_1261_Map")</f>
        <v>OG_1261_Map</v>
      </c>
      <c r="F1336" s="1" t="s">
        <v>1797</v>
      </c>
      <c r="G1336" s="1" t="s">
        <v>79</v>
      </c>
      <c r="H1336" s="1" t="s">
        <v>15607</v>
      </c>
      <c r="I1336" s="1" t="s">
        <v>15630</v>
      </c>
      <c r="J1336" s="17" t="s">
        <v>82</v>
      </c>
      <c r="K1336" s="17" t="s">
        <v>83</v>
      </c>
      <c r="L1336" s="17"/>
      <c r="M1336" s="17" t="s">
        <v>84</v>
      </c>
      <c r="N1336" s="52" t="s">
        <v>15631</v>
      </c>
      <c r="O1336" s="17" t="s">
        <v>86</v>
      </c>
      <c r="P1336" s="17" t="s">
        <v>86</v>
      </c>
      <c r="Q1336" s="81" t="s">
        <v>15561</v>
      </c>
      <c r="R1336" s="11">
        <v>30.835781000000001</v>
      </c>
      <c r="S1336" s="11">
        <v>-86.885812999999999</v>
      </c>
      <c r="T1336" s="11" t="s">
        <v>15632</v>
      </c>
      <c r="U1336" s="11" t="s">
        <v>15633</v>
      </c>
      <c r="V1336" s="17" t="s">
        <v>15634</v>
      </c>
      <c r="W1336" s="17" t="s">
        <v>15635</v>
      </c>
      <c r="X1336" s="70">
        <v>160</v>
      </c>
      <c r="Y1336" s="70">
        <v>129</v>
      </c>
      <c r="Z1336" s="13">
        <v>32975</v>
      </c>
      <c r="AA1336" s="13">
        <v>33057</v>
      </c>
      <c r="AB1336" s="13"/>
      <c r="AC1336" s="13">
        <v>33136</v>
      </c>
      <c r="AD1336" s="86">
        <v>15500</v>
      </c>
      <c r="AE1336" s="86">
        <v>15500</v>
      </c>
      <c r="AF1336" s="70" t="s">
        <v>11383</v>
      </c>
      <c r="AG1336" s="17" t="s">
        <v>15636</v>
      </c>
      <c r="AH1336" s="17" t="s">
        <v>86</v>
      </c>
      <c r="AI1336" s="70" t="s">
        <v>86</v>
      </c>
      <c r="AJ1336" s="17" t="s">
        <v>86</v>
      </c>
      <c r="AK1336" s="17" t="s">
        <v>95</v>
      </c>
      <c r="AL1336" s="17" t="s">
        <v>15637</v>
      </c>
      <c r="AM1336" s="17" t="s">
        <v>95</v>
      </c>
      <c r="AN1336" s="17" t="s">
        <v>86</v>
      </c>
      <c r="AO1336" s="17" t="s">
        <v>98</v>
      </c>
      <c r="AP1336" s="17" t="s">
        <v>98</v>
      </c>
      <c r="AQ1336" s="17" t="s">
        <v>98</v>
      </c>
      <c r="AR1336" s="17" t="s">
        <v>86</v>
      </c>
      <c r="AS1336" s="17" t="s">
        <v>15638</v>
      </c>
      <c r="AT1336" s="17">
        <v>246</v>
      </c>
      <c r="AU1336" s="30" t="s">
        <v>15639</v>
      </c>
      <c r="AV1336" s="14">
        <v>16546</v>
      </c>
      <c r="AW1336" s="74"/>
      <c r="AX1336" s="1"/>
      <c r="AY1336" s="17" t="s">
        <v>101</v>
      </c>
    </row>
    <row r="1337" spans="1:51" ht="12.75" customHeight="1" x14ac:dyDescent="0.25">
      <c r="A1337" s="5">
        <v>1262</v>
      </c>
      <c r="B1337" s="9">
        <v>1262</v>
      </c>
      <c r="C1337" s="9" t="s">
        <v>15640</v>
      </c>
      <c r="D1337" s="57" t="str">
        <f>HYPERLINK("http://prodenv.dep.state.fl.us/DepNexus/public/electronic-documents/OG_1262/facility!search","OG_1262_Docs")</f>
        <v>OG_1262_Docs</v>
      </c>
      <c r="E1337" s="57" t="str">
        <f>HYPERLINK("https://ca.dep.state.fl.us/mapdirect/?focus=oilandgas&amp;zoom=query&amp;querytype=oilandgas&amp;queryvalues=OG_1262","OG_1262_Map")</f>
        <v>OG_1262_Map</v>
      </c>
      <c r="F1337" s="1" t="s">
        <v>1797</v>
      </c>
      <c r="G1337" s="1" t="s">
        <v>79</v>
      </c>
      <c r="H1337" s="1" t="s">
        <v>15641</v>
      </c>
      <c r="I1337" s="1" t="s">
        <v>15642</v>
      </c>
      <c r="J1337" s="17" t="s">
        <v>82</v>
      </c>
      <c r="K1337" s="17" t="s">
        <v>83</v>
      </c>
      <c r="L1337" s="17" t="s">
        <v>101</v>
      </c>
      <c r="M1337" s="17" t="s">
        <v>84</v>
      </c>
      <c r="N1337" s="52" t="s">
        <v>15643</v>
      </c>
      <c r="O1337" s="17" t="s">
        <v>86</v>
      </c>
      <c r="P1337" s="17" t="s">
        <v>86</v>
      </c>
      <c r="Q1337" s="81" t="s">
        <v>15644</v>
      </c>
      <c r="R1337" s="11">
        <v>30.653486999999998</v>
      </c>
      <c r="S1337" s="11">
        <v>-86.926079999999999</v>
      </c>
      <c r="T1337" s="11" t="s">
        <v>15645</v>
      </c>
      <c r="U1337" s="11" t="s">
        <v>15646</v>
      </c>
      <c r="V1337" s="17" t="s">
        <v>15647</v>
      </c>
      <c r="W1337" s="17" t="s">
        <v>15648</v>
      </c>
      <c r="X1337" s="70">
        <v>184</v>
      </c>
      <c r="Y1337" s="70">
        <v>153</v>
      </c>
      <c r="Z1337" s="13">
        <v>32931</v>
      </c>
      <c r="AA1337" s="13">
        <v>33001</v>
      </c>
      <c r="AB1337" s="13">
        <v>33051</v>
      </c>
      <c r="AC1337" s="13">
        <v>33051</v>
      </c>
      <c r="AD1337" s="70"/>
      <c r="AE1337" s="86">
        <v>16595</v>
      </c>
      <c r="AF1337" s="70" t="s">
        <v>15649</v>
      </c>
      <c r="AG1337" s="17" t="s">
        <v>15650</v>
      </c>
      <c r="AH1337" s="17" t="s">
        <v>86</v>
      </c>
      <c r="AI1337" s="70" t="s">
        <v>86</v>
      </c>
      <c r="AJ1337" s="17" t="s">
        <v>86</v>
      </c>
      <c r="AK1337" s="17" t="s">
        <v>95</v>
      </c>
      <c r="AL1337" s="17" t="s">
        <v>15651</v>
      </c>
      <c r="AM1337" s="17" t="s">
        <v>95</v>
      </c>
      <c r="AN1337" s="17" t="s">
        <v>86</v>
      </c>
      <c r="AO1337" s="17" t="s">
        <v>98</v>
      </c>
      <c r="AP1337" s="17" t="s">
        <v>98</v>
      </c>
      <c r="AQ1337" s="17" t="s">
        <v>98</v>
      </c>
      <c r="AR1337" s="17" t="s">
        <v>94</v>
      </c>
      <c r="AS1337" s="17" t="s">
        <v>15652</v>
      </c>
      <c r="AT1337" s="17">
        <v>278</v>
      </c>
      <c r="AU1337" s="30" t="s">
        <v>15653</v>
      </c>
      <c r="AV1337" s="14">
        <v>16538</v>
      </c>
      <c r="AW1337" s="74"/>
      <c r="AX1337" s="1"/>
      <c r="AY1337" s="17" t="s">
        <v>101</v>
      </c>
    </row>
    <row r="1338" spans="1:51" ht="12.75" customHeight="1" x14ac:dyDescent="0.25">
      <c r="A1338" s="5">
        <v>1263</v>
      </c>
      <c r="B1338" s="9">
        <v>1263</v>
      </c>
      <c r="C1338" s="9" t="s">
        <v>15654</v>
      </c>
      <c r="D1338" s="57" t="str">
        <f>HYPERLINK("http://prodenv.dep.state.fl.us/DepNexus/public/electronic-documents/OG_1263/facility!search","OG_1263_Docs")</f>
        <v>OG_1263_Docs</v>
      </c>
      <c r="E1338" s="57" t="str">
        <f>HYPERLINK("https://ca.dep.state.fl.us/mapdirect/?focus=oilandgas&amp;zoom=query&amp;querytype=oilandgas&amp;queryvalues=OG_1263","OG_1263_Map")</f>
        <v>OG_1263_Map</v>
      </c>
      <c r="F1338" s="1" t="s">
        <v>265</v>
      </c>
      <c r="G1338" s="1" t="s">
        <v>14480</v>
      </c>
      <c r="H1338" s="1" t="s">
        <v>15085</v>
      </c>
      <c r="I1338" s="1" t="s">
        <v>15655</v>
      </c>
      <c r="J1338" s="17" t="s">
        <v>82</v>
      </c>
      <c r="K1338" s="17" t="s">
        <v>83</v>
      </c>
      <c r="L1338" s="17"/>
      <c r="M1338" s="17" t="s">
        <v>101</v>
      </c>
      <c r="N1338" s="52" t="s">
        <v>15656</v>
      </c>
      <c r="O1338" s="17" t="s">
        <v>86</v>
      </c>
      <c r="P1338" s="17" t="s">
        <v>86</v>
      </c>
      <c r="Q1338" s="81" t="s">
        <v>15657</v>
      </c>
      <c r="R1338" s="11">
        <v>26.455012</v>
      </c>
      <c r="S1338" s="11">
        <v>-81.560732000000002</v>
      </c>
      <c r="T1338" s="11" t="s">
        <v>15658</v>
      </c>
      <c r="U1338" s="11" t="s">
        <v>15659</v>
      </c>
      <c r="V1338" s="17" t="s">
        <v>15660</v>
      </c>
      <c r="W1338" s="17" t="s">
        <v>15661</v>
      </c>
      <c r="X1338" s="70">
        <v>46</v>
      </c>
      <c r="Y1338" s="70">
        <v>24</v>
      </c>
      <c r="Z1338" s="13">
        <v>33126</v>
      </c>
      <c r="AA1338" s="13">
        <v>33304</v>
      </c>
      <c r="AB1338" s="13">
        <v>33339</v>
      </c>
      <c r="AC1338" s="13">
        <v>33339</v>
      </c>
      <c r="AD1338" s="86">
        <v>11704</v>
      </c>
      <c r="AE1338" s="86">
        <v>11704</v>
      </c>
      <c r="AF1338" s="70" t="s">
        <v>10386</v>
      </c>
      <c r="AG1338" s="17" t="s">
        <v>15662</v>
      </c>
      <c r="AH1338" s="17" t="s">
        <v>15663</v>
      </c>
      <c r="AI1338" s="70" t="s">
        <v>94</v>
      </c>
      <c r="AJ1338" s="17" t="s">
        <v>94</v>
      </c>
      <c r="AK1338" s="17" t="s">
        <v>95</v>
      </c>
      <c r="AL1338" s="17" t="s">
        <v>15664</v>
      </c>
      <c r="AM1338" s="17" t="s">
        <v>94</v>
      </c>
      <c r="AN1338" s="17" t="s">
        <v>86</v>
      </c>
      <c r="AO1338" s="17" t="s">
        <v>98</v>
      </c>
      <c r="AP1338" s="17" t="s">
        <v>98</v>
      </c>
      <c r="AQ1338" s="17" t="s">
        <v>98</v>
      </c>
      <c r="AR1338" s="17" t="s">
        <v>94</v>
      </c>
      <c r="AS1338" s="17"/>
      <c r="AT1338" s="17">
        <v>196</v>
      </c>
      <c r="AU1338" s="30" t="s">
        <v>15665</v>
      </c>
      <c r="AV1338" s="14">
        <v>16659</v>
      </c>
      <c r="AW1338" s="74"/>
      <c r="AX1338" s="1"/>
      <c r="AY1338" s="17" t="s">
        <v>101</v>
      </c>
    </row>
    <row r="1339" spans="1:51" ht="12.75" customHeight="1" x14ac:dyDescent="0.25">
      <c r="A1339" s="5">
        <v>1264</v>
      </c>
      <c r="B1339" s="9">
        <v>1264</v>
      </c>
      <c r="C1339" s="9" t="s">
        <v>15666</v>
      </c>
      <c r="D1339" s="57" t="str">
        <f>HYPERLINK("http://prodenv.dep.state.fl.us/DepNexus/public/electronic-documents/OG_1264/facility!search","OG_1264_Docs")</f>
        <v>OG_1264_Docs</v>
      </c>
      <c r="E1339" s="57" t="str">
        <f>HYPERLINK("https://ca.dep.state.fl.us/mapdirect/?focus=oilandgas&amp;zoom=query&amp;querytype=oilandgas&amp;queryvalues=OG_1264","OG_1264_Map")</f>
        <v>OG_1264_Map</v>
      </c>
      <c r="F1339" s="1" t="s">
        <v>2831</v>
      </c>
      <c r="G1339" s="1" t="s">
        <v>79</v>
      </c>
      <c r="H1339" s="1" t="s">
        <v>5098</v>
      </c>
      <c r="I1339" s="1" t="s">
        <v>15667</v>
      </c>
      <c r="J1339" s="17" t="s">
        <v>82</v>
      </c>
      <c r="K1339" s="17" t="s">
        <v>83</v>
      </c>
      <c r="L1339" s="17"/>
      <c r="M1339" s="17" t="s">
        <v>101</v>
      </c>
      <c r="N1339" s="52" t="s">
        <v>15668</v>
      </c>
      <c r="O1339" s="17" t="s">
        <v>86</v>
      </c>
      <c r="P1339" s="17" t="s">
        <v>86</v>
      </c>
      <c r="Q1339" s="81" t="s">
        <v>15669</v>
      </c>
      <c r="R1339" s="11">
        <v>27.432753999999999</v>
      </c>
      <c r="S1339" s="11">
        <v>-81.087469999999996</v>
      </c>
      <c r="T1339" s="11" t="s">
        <v>15670</v>
      </c>
      <c r="U1339" s="11" t="s">
        <v>15671</v>
      </c>
      <c r="V1339" s="17" t="s">
        <v>15672</v>
      </c>
      <c r="W1339" s="17" t="s">
        <v>15673</v>
      </c>
      <c r="X1339" s="70">
        <v>73</v>
      </c>
      <c r="Y1339" s="70">
        <v>53</v>
      </c>
      <c r="Z1339" s="13">
        <v>33038</v>
      </c>
      <c r="AA1339" s="13">
        <v>33094</v>
      </c>
      <c r="AB1339" s="13"/>
      <c r="AC1339" s="13">
        <v>33135</v>
      </c>
      <c r="AD1339" s="86">
        <v>8185</v>
      </c>
      <c r="AE1339" s="86">
        <v>8185</v>
      </c>
      <c r="AF1339" s="70" t="s">
        <v>15674</v>
      </c>
      <c r="AG1339" s="17" t="s">
        <v>15675</v>
      </c>
      <c r="AH1339" s="17" t="s">
        <v>15676</v>
      </c>
      <c r="AI1339" s="70" t="s">
        <v>94</v>
      </c>
      <c r="AJ1339" s="17" t="s">
        <v>94</v>
      </c>
      <c r="AK1339" s="17" t="s">
        <v>95</v>
      </c>
      <c r="AL1339" s="17" t="s">
        <v>15677</v>
      </c>
      <c r="AM1339" s="17" t="s">
        <v>95</v>
      </c>
      <c r="AN1339" s="17" t="s">
        <v>15678</v>
      </c>
      <c r="AO1339" s="17" t="s">
        <v>98</v>
      </c>
      <c r="AP1339" s="17" t="s">
        <v>98</v>
      </c>
      <c r="AQ1339" s="17" t="s">
        <v>98</v>
      </c>
      <c r="AR1339" s="17" t="s">
        <v>94</v>
      </c>
      <c r="AS1339" s="17" t="s">
        <v>15679</v>
      </c>
      <c r="AT1339" s="17">
        <v>168</v>
      </c>
      <c r="AU1339" s="30" t="s">
        <v>15680</v>
      </c>
      <c r="AV1339" s="14">
        <v>16579</v>
      </c>
      <c r="AW1339" s="74"/>
      <c r="AX1339" s="1"/>
      <c r="AY1339" s="17" t="s">
        <v>101</v>
      </c>
    </row>
    <row r="1340" spans="1:51" ht="12.75" customHeight="1" x14ac:dyDescent="0.25">
      <c r="A1340" s="5">
        <v>1265</v>
      </c>
      <c r="B1340" s="9">
        <v>1265</v>
      </c>
      <c r="C1340" s="9" t="s">
        <v>15681</v>
      </c>
      <c r="D1340" s="57" t="str">
        <f>HYPERLINK("http://prodenv.dep.state.fl.us/DepNexus/public/electronic-documents/OG_1265/facility!search","OG_1265_Docs")</f>
        <v>OG_1265_Docs</v>
      </c>
      <c r="E1340" s="57" t="str">
        <f>HYPERLINK("https://ca.dep.state.fl.us/mapdirect/?focus=oilandgas&amp;zoom=query&amp;querytype=oilandgas&amp;queryvalues=OG_1265","OG_1265_Map")</f>
        <v>OG_1265_Map</v>
      </c>
      <c r="F1340" s="1" t="s">
        <v>1682</v>
      </c>
      <c r="G1340" s="1" t="s">
        <v>79</v>
      </c>
      <c r="H1340" s="1" t="s">
        <v>14561</v>
      </c>
      <c r="I1340" s="1" t="s">
        <v>15682</v>
      </c>
      <c r="J1340" s="17" t="s">
        <v>82</v>
      </c>
      <c r="K1340" s="17" t="s">
        <v>83</v>
      </c>
      <c r="L1340" s="17"/>
      <c r="M1340" s="17"/>
      <c r="N1340" s="52" t="s">
        <v>15683</v>
      </c>
      <c r="O1340" s="17" t="s">
        <v>86</v>
      </c>
      <c r="P1340" s="17" t="s">
        <v>86</v>
      </c>
      <c r="Q1340" s="81" t="s">
        <v>15684</v>
      </c>
      <c r="R1340" s="11">
        <v>30.955179000000001</v>
      </c>
      <c r="S1340" s="11">
        <v>-87.466914000000003</v>
      </c>
      <c r="T1340" s="11" t="s">
        <v>15685</v>
      </c>
      <c r="U1340" s="11" t="s">
        <v>15686</v>
      </c>
      <c r="V1340" s="17" t="s">
        <v>15687</v>
      </c>
      <c r="W1340" s="17" t="s">
        <v>15688</v>
      </c>
      <c r="X1340" s="70">
        <v>270</v>
      </c>
      <c r="Y1340" s="70">
        <v>248</v>
      </c>
      <c r="Z1340" s="13">
        <v>33127</v>
      </c>
      <c r="AA1340" s="13">
        <v>33159</v>
      </c>
      <c r="AB1340" s="13"/>
      <c r="AC1340" s="13">
        <v>33193</v>
      </c>
      <c r="AD1340" s="86">
        <v>16850</v>
      </c>
      <c r="AE1340" s="86">
        <v>16850</v>
      </c>
      <c r="AF1340" s="70" t="s">
        <v>11383</v>
      </c>
      <c r="AG1340" s="17" t="s">
        <v>15689</v>
      </c>
      <c r="AH1340" s="17" t="s">
        <v>94</v>
      </c>
      <c r="AI1340" s="70" t="s">
        <v>94</v>
      </c>
      <c r="AJ1340" s="17" t="s">
        <v>94</v>
      </c>
      <c r="AK1340" s="17" t="s">
        <v>95</v>
      </c>
      <c r="AL1340" s="17" t="s">
        <v>86</v>
      </c>
      <c r="AM1340" s="17" t="s">
        <v>95</v>
      </c>
      <c r="AN1340" s="17" t="s">
        <v>86</v>
      </c>
      <c r="AO1340" s="17" t="s">
        <v>98</v>
      </c>
      <c r="AP1340" s="17" t="s">
        <v>98</v>
      </c>
      <c r="AQ1340" s="17" t="s">
        <v>98</v>
      </c>
      <c r="AR1340" s="17" t="s">
        <v>94</v>
      </c>
      <c r="AS1340" s="17" t="s">
        <v>15690</v>
      </c>
      <c r="AT1340" s="17">
        <v>276</v>
      </c>
      <c r="AU1340" s="30" t="s">
        <v>15691</v>
      </c>
      <c r="AV1340" s="14">
        <v>16592</v>
      </c>
      <c r="AW1340" s="74"/>
      <c r="AX1340" s="1"/>
      <c r="AY1340" s="17" t="s">
        <v>101</v>
      </c>
    </row>
    <row r="1341" spans="1:51" ht="12.75" customHeight="1" x14ac:dyDescent="0.25">
      <c r="A1341" s="5">
        <v>1266</v>
      </c>
      <c r="B1341" s="9">
        <v>1266</v>
      </c>
      <c r="C1341" s="9" t="s">
        <v>15692</v>
      </c>
      <c r="D1341" s="57" t="str">
        <f>HYPERLINK("http://prodenv.dep.state.fl.us/DepNexus/public/electronic-documents/OG_1266/facility!search","OG_1266_Docs")</f>
        <v>OG_1266_Docs</v>
      </c>
      <c r="E1341" s="57" t="str">
        <f>HYPERLINK("https://ca.dep.state.fl.us/mapdirect/?focus=oilandgas&amp;zoom=query&amp;querytype=oilandgas&amp;queryvalues=OG_1266","OG_1266_Map")</f>
        <v>OG_1266_Map</v>
      </c>
      <c r="F1341" s="1" t="s">
        <v>1797</v>
      </c>
      <c r="G1341" s="1" t="s">
        <v>79</v>
      </c>
      <c r="H1341" s="1" t="s">
        <v>15693</v>
      </c>
      <c r="I1341" s="1" t="s">
        <v>15694</v>
      </c>
      <c r="J1341" s="17" t="s">
        <v>82</v>
      </c>
      <c r="K1341" s="17" t="s">
        <v>83</v>
      </c>
      <c r="L1341" s="17"/>
      <c r="M1341" s="17"/>
      <c r="N1341" s="52" t="s">
        <v>15695</v>
      </c>
      <c r="O1341" s="17" t="s">
        <v>86</v>
      </c>
      <c r="P1341" s="17" t="s">
        <v>86</v>
      </c>
      <c r="Q1341" s="81" t="s">
        <v>15696</v>
      </c>
      <c r="R1341" s="11">
        <v>30.996811999999998</v>
      </c>
      <c r="S1341" s="11">
        <v>-87.073402000000002</v>
      </c>
      <c r="T1341" s="11" t="s">
        <v>15697</v>
      </c>
      <c r="U1341" s="11" t="s">
        <v>15698</v>
      </c>
      <c r="V1341" s="17" t="s">
        <v>8528</v>
      </c>
      <c r="W1341" s="17" t="s">
        <v>15699</v>
      </c>
      <c r="X1341" s="70">
        <v>222</v>
      </c>
      <c r="Y1341" s="70">
        <v>200</v>
      </c>
      <c r="Z1341" s="13">
        <v>33212</v>
      </c>
      <c r="AA1341" s="13">
        <v>33263</v>
      </c>
      <c r="AB1341" s="13"/>
      <c r="AC1341" s="13">
        <v>33298</v>
      </c>
      <c r="AD1341" s="86">
        <v>15400</v>
      </c>
      <c r="AE1341" s="86">
        <v>15400</v>
      </c>
      <c r="AF1341" s="70" t="s">
        <v>11349</v>
      </c>
      <c r="AG1341" s="17" t="s">
        <v>15700</v>
      </c>
      <c r="AH1341" s="17" t="s">
        <v>94</v>
      </c>
      <c r="AI1341" s="70" t="s">
        <v>94</v>
      </c>
      <c r="AJ1341" s="17" t="s">
        <v>94</v>
      </c>
      <c r="AK1341" s="17" t="s">
        <v>825</v>
      </c>
      <c r="AL1341" s="17" t="s">
        <v>15701</v>
      </c>
      <c r="AM1341" s="17" t="s">
        <v>95</v>
      </c>
      <c r="AN1341" s="17" t="s">
        <v>86</v>
      </c>
      <c r="AO1341" s="17" t="s">
        <v>98</v>
      </c>
      <c r="AP1341" s="17" t="s">
        <v>98</v>
      </c>
      <c r="AQ1341" s="17" t="s">
        <v>98</v>
      </c>
      <c r="AR1341" s="17" t="s">
        <v>94</v>
      </c>
      <c r="AS1341" s="17" t="s">
        <v>15702</v>
      </c>
      <c r="AT1341" s="17">
        <v>269</v>
      </c>
      <c r="AU1341" s="30" t="s">
        <v>15703</v>
      </c>
      <c r="AV1341" s="14">
        <v>16615</v>
      </c>
      <c r="AW1341" s="74"/>
      <c r="AX1341" s="1"/>
      <c r="AY1341" s="17" t="s">
        <v>101</v>
      </c>
    </row>
    <row r="1342" spans="1:51" ht="12.75" customHeight="1" x14ac:dyDescent="0.25">
      <c r="A1342" s="5">
        <v>1267</v>
      </c>
      <c r="B1342" s="9">
        <v>1267</v>
      </c>
      <c r="C1342" s="9" t="s">
        <v>15704</v>
      </c>
      <c r="D1342" s="57" t="str">
        <f>HYPERLINK("http://prodenv.dep.state.fl.us/DepNexus/public/electronic-documents/OG_1267/facility!search","OG_1267_Docs")</f>
        <v>OG_1267_Docs</v>
      </c>
      <c r="E1342" s="57" t="str">
        <f>HYPERLINK("https://ca.dep.state.fl.us/mapdirect/?focus=oilandgas&amp;zoom=query&amp;querytype=oilandgas&amp;queryvalues=OG_1267","OG_1267_Map")</f>
        <v>OG_1267_Map</v>
      </c>
      <c r="F1342" s="1" t="s">
        <v>829</v>
      </c>
      <c r="G1342" s="1" t="s">
        <v>79</v>
      </c>
      <c r="H1342" s="1" t="s">
        <v>15705</v>
      </c>
      <c r="I1342" s="1" t="s">
        <v>15706</v>
      </c>
      <c r="J1342" s="17" t="s">
        <v>82</v>
      </c>
      <c r="K1342" s="17" t="s">
        <v>83</v>
      </c>
      <c r="L1342" s="17"/>
      <c r="M1342" s="17" t="s">
        <v>101</v>
      </c>
      <c r="N1342" s="52" t="s">
        <v>15707</v>
      </c>
      <c r="O1342" s="17" t="s">
        <v>86</v>
      </c>
      <c r="P1342" s="17" t="s">
        <v>86</v>
      </c>
      <c r="Q1342" s="81" t="s">
        <v>15708</v>
      </c>
      <c r="R1342" s="11">
        <v>30.787648999999998</v>
      </c>
      <c r="S1342" s="11">
        <v>-86.747113999999996</v>
      </c>
      <c r="T1342" s="11" t="s">
        <v>15709</v>
      </c>
      <c r="U1342" s="11" t="s">
        <v>15710</v>
      </c>
      <c r="V1342" s="17" t="s">
        <v>15711</v>
      </c>
      <c r="W1342" s="17" t="s">
        <v>15712</v>
      </c>
      <c r="X1342" s="70">
        <v>204</v>
      </c>
      <c r="Y1342" s="70">
        <v>182</v>
      </c>
      <c r="Z1342" s="13">
        <v>33178</v>
      </c>
      <c r="AA1342" s="13">
        <v>33229</v>
      </c>
      <c r="AB1342" s="13">
        <v>33277</v>
      </c>
      <c r="AC1342" s="13">
        <v>33283</v>
      </c>
      <c r="AD1342" s="86">
        <v>15200</v>
      </c>
      <c r="AE1342" s="86">
        <v>15200</v>
      </c>
      <c r="AF1342" s="70" t="s">
        <v>11383</v>
      </c>
      <c r="AG1342" s="17" t="s">
        <v>15713</v>
      </c>
      <c r="AH1342" s="17" t="s">
        <v>94</v>
      </c>
      <c r="AI1342" s="70" t="s">
        <v>94</v>
      </c>
      <c r="AJ1342" s="17" t="s">
        <v>94</v>
      </c>
      <c r="AK1342" s="17" t="s">
        <v>95</v>
      </c>
      <c r="AL1342" s="17" t="s">
        <v>15714</v>
      </c>
      <c r="AM1342" s="17" t="s">
        <v>95</v>
      </c>
      <c r="AN1342" s="17" t="s">
        <v>86</v>
      </c>
      <c r="AO1342" s="17" t="s">
        <v>98</v>
      </c>
      <c r="AP1342" s="17" t="s">
        <v>98</v>
      </c>
      <c r="AQ1342" s="17" t="s">
        <v>98</v>
      </c>
      <c r="AR1342" s="17" t="s">
        <v>94</v>
      </c>
      <c r="AS1342" s="17" t="s">
        <v>15715</v>
      </c>
      <c r="AT1342" s="17">
        <v>266</v>
      </c>
      <c r="AU1342" s="30" t="s">
        <v>15716</v>
      </c>
      <c r="AV1342" s="14">
        <v>16610</v>
      </c>
      <c r="AW1342" s="74"/>
      <c r="AX1342" s="1"/>
      <c r="AY1342" s="17" t="s">
        <v>101</v>
      </c>
    </row>
    <row r="1343" spans="1:51" ht="12.75" customHeight="1" x14ac:dyDescent="0.25">
      <c r="A1343" s="5">
        <v>1268</v>
      </c>
      <c r="B1343" s="9">
        <v>1268</v>
      </c>
      <c r="C1343" s="9" t="s">
        <v>15717</v>
      </c>
      <c r="D1343" s="57" t="str">
        <f>HYPERLINK("http://prodenv.dep.state.fl.us/DepNexus/public/electronic-documents/OG_1268/facility!search","OG_1268_Docs")</f>
        <v>OG_1268_Docs</v>
      </c>
      <c r="E1343" s="57" t="str">
        <f>HYPERLINK("https://ca.dep.state.fl.us/mapdirect/?focus=oilandgas&amp;zoom=query&amp;querytype=oilandgas&amp;queryvalues=OG_1268","OG_1268_Map")</f>
        <v>OG_1268_Map</v>
      </c>
      <c r="F1343" s="1" t="s">
        <v>1797</v>
      </c>
      <c r="G1343" s="1" t="s">
        <v>79</v>
      </c>
      <c r="H1343" s="1" t="s">
        <v>15718</v>
      </c>
      <c r="I1343" s="1" t="s">
        <v>15719</v>
      </c>
      <c r="J1343" s="17" t="s">
        <v>82</v>
      </c>
      <c r="K1343" s="17" t="s">
        <v>83</v>
      </c>
      <c r="L1343" s="17"/>
      <c r="M1343" s="17" t="s">
        <v>101</v>
      </c>
      <c r="N1343" s="52" t="s">
        <v>15720</v>
      </c>
      <c r="O1343" s="17" t="s">
        <v>1962</v>
      </c>
      <c r="P1343" s="17" t="s">
        <v>86</v>
      </c>
      <c r="Q1343" s="81" t="s">
        <v>15721</v>
      </c>
      <c r="R1343" s="11">
        <v>30.846997000000002</v>
      </c>
      <c r="S1343" s="11">
        <v>-86.793163000000007</v>
      </c>
      <c r="T1343" s="11" t="s">
        <v>15722</v>
      </c>
      <c r="U1343" s="11" t="s">
        <v>15723</v>
      </c>
      <c r="V1343" s="17" t="s">
        <v>6887</v>
      </c>
      <c r="W1343" s="17" t="s">
        <v>13115</v>
      </c>
      <c r="X1343" s="70">
        <v>220</v>
      </c>
      <c r="Y1343" s="70">
        <v>195</v>
      </c>
      <c r="Z1343" s="13">
        <v>33225</v>
      </c>
      <c r="AA1343" s="13">
        <v>32913</v>
      </c>
      <c r="AB1343" s="13"/>
      <c r="AC1343" s="13">
        <v>33309</v>
      </c>
      <c r="AD1343" s="86">
        <v>15170</v>
      </c>
      <c r="AE1343" s="86">
        <v>15170</v>
      </c>
      <c r="AF1343" s="70" t="s">
        <v>6428</v>
      </c>
      <c r="AG1343" s="17" t="s">
        <v>15724</v>
      </c>
      <c r="AH1343" s="17" t="s">
        <v>94</v>
      </c>
      <c r="AI1343" s="70" t="s">
        <v>94</v>
      </c>
      <c r="AJ1343" s="17" t="s">
        <v>94</v>
      </c>
      <c r="AK1343" s="17" t="s">
        <v>95</v>
      </c>
      <c r="AL1343" s="17"/>
      <c r="AM1343" s="17"/>
      <c r="AN1343" s="17" t="s">
        <v>94</v>
      </c>
      <c r="AO1343" s="17" t="s">
        <v>98</v>
      </c>
      <c r="AP1343" s="17" t="s">
        <v>98</v>
      </c>
      <c r="AQ1343" s="17" t="s">
        <v>98</v>
      </c>
      <c r="AR1343" s="17" t="s">
        <v>94</v>
      </c>
      <c r="AS1343" s="17" t="s">
        <v>15725</v>
      </c>
      <c r="AT1343" s="17">
        <v>264</v>
      </c>
      <c r="AU1343" s="30" t="s">
        <v>15726</v>
      </c>
      <c r="AV1343" s="14">
        <v>16620</v>
      </c>
      <c r="AW1343" s="74"/>
      <c r="AX1343" s="1"/>
      <c r="AY1343" s="17" t="s">
        <v>101</v>
      </c>
    </row>
    <row r="1344" spans="1:51" ht="12.75" customHeight="1" x14ac:dyDescent="0.25">
      <c r="A1344" s="5">
        <v>1269</v>
      </c>
      <c r="B1344" s="9">
        <v>1269</v>
      </c>
      <c r="C1344" s="9" t="s">
        <v>15727</v>
      </c>
      <c r="D1344" s="57" t="str">
        <f>HYPERLINK("http://prodenv.dep.state.fl.us/DepNexus/public/electronic-documents/OG_1269/facility!search","OG_1269_Docs")</f>
        <v>OG_1269_Docs</v>
      </c>
      <c r="E1344" s="57" t="str">
        <f>HYPERLINK("https://ca.dep.state.fl.us/mapdirect/?focus=oilandgas&amp;zoom=query&amp;querytype=oilandgas&amp;queryvalues=OG_1269","OG_1269_Map")</f>
        <v>OG_1269_Map</v>
      </c>
      <c r="F1344" s="1" t="s">
        <v>1797</v>
      </c>
      <c r="G1344" s="1" t="s">
        <v>79</v>
      </c>
      <c r="H1344" s="1" t="s">
        <v>9572</v>
      </c>
      <c r="I1344" s="1" t="s">
        <v>15728</v>
      </c>
      <c r="J1344" s="17" t="s">
        <v>82</v>
      </c>
      <c r="K1344" s="17" t="s">
        <v>83</v>
      </c>
      <c r="L1344" s="17"/>
      <c r="M1344" s="17"/>
      <c r="N1344" s="52" t="s">
        <v>15729</v>
      </c>
      <c r="O1344" s="17" t="s">
        <v>86</v>
      </c>
      <c r="P1344" s="17" t="s">
        <v>86</v>
      </c>
      <c r="Q1344" s="81" t="s">
        <v>15730</v>
      </c>
      <c r="R1344" s="11">
        <v>30.939063000000001</v>
      </c>
      <c r="S1344" s="11">
        <v>-87.123613000000006</v>
      </c>
      <c r="T1344" s="11" t="s">
        <v>15731</v>
      </c>
      <c r="U1344" s="11" t="s">
        <v>15732</v>
      </c>
      <c r="V1344" s="17" t="s">
        <v>15733</v>
      </c>
      <c r="W1344" s="17" t="s">
        <v>110</v>
      </c>
      <c r="X1344" s="70">
        <v>22</v>
      </c>
      <c r="Y1344" s="70">
        <v>225</v>
      </c>
      <c r="Z1344" s="13">
        <v>33464</v>
      </c>
      <c r="AA1344" s="13">
        <v>33535</v>
      </c>
      <c r="AB1344" s="13">
        <v>33547</v>
      </c>
      <c r="AC1344" s="13">
        <v>33547</v>
      </c>
      <c r="AD1344" s="86">
        <v>6600</v>
      </c>
      <c r="AE1344" s="86">
        <v>6600</v>
      </c>
      <c r="AF1344" s="70" t="s">
        <v>15734</v>
      </c>
      <c r="AG1344" s="17" t="s">
        <v>15735</v>
      </c>
      <c r="AH1344" s="17" t="s">
        <v>94</v>
      </c>
      <c r="AI1344" s="70" t="s">
        <v>94</v>
      </c>
      <c r="AJ1344" s="17" t="s">
        <v>94</v>
      </c>
      <c r="AK1344" s="17" t="s">
        <v>95</v>
      </c>
      <c r="AL1344" s="17"/>
      <c r="AM1344" s="17"/>
      <c r="AN1344" s="17" t="s">
        <v>86</v>
      </c>
      <c r="AO1344" s="17" t="s">
        <v>98</v>
      </c>
      <c r="AP1344" s="17" t="s">
        <v>98</v>
      </c>
      <c r="AQ1344" s="17" t="s">
        <v>98</v>
      </c>
      <c r="AR1344" s="17" t="s">
        <v>94</v>
      </c>
      <c r="AS1344" s="17" t="s">
        <v>15736</v>
      </c>
      <c r="AT1344" s="17"/>
      <c r="AU1344" s="30" t="s">
        <v>15737</v>
      </c>
      <c r="AV1344" s="14" t="s">
        <v>94</v>
      </c>
      <c r="AW1344" s="74"/>
      <c r="AX1344" s="1"/>
      <c r="AY1344" s="17" t="s">
        <v>101</v>
      </c>
    </row>
    <row r="1345" spans="1:51" ht="12.75" customHeight="1" x14ac:dyDescent="0.25">
      <c r="A1345" s="5">
        <v>1270</v>
      </c>
      <c r="B1345" s="9">
        <v>1270</v>
      </c>
      <c r="C1345" s="9" t="s">
        <v>15738</v>
      </c>
      <c r="D1345" s="57" t="str">
        <f>HYPERLINK("http://prodenv.dep.state.fl.us/DepNexus/public/electronic-documents/OG_1270/facility!search","OG_1270_Docs")</f>
        <v>OG_1270_Docs</v>
      </c>
      <c r="E1345" s="57" t="str">
        <f>HYPERLINK("https://ca.dep.state.fl.us/mapdirect/?focus=oilandgas&amp;zoom=query&amp;querytype=oilandgas&amp;queryvalues=OG_1270","OG_1270_Map")</f>
        <v>OG_1270_Map</v>
      </c>
      <c r="F1345" s="1" t="s">
        <v>1797</v>
      </c>
      <c r="G1345" s="1" t="s">
        <v>79</v>
      </c>
      <c r="H1345" s="1" t="s">
        <v>15739</v>
      </c>
      <c r="I1345" s="1" t="s">
        <v>15740</v>
      </c>
      <c r="J1345" s="17" t="s">
        <v>82</v>
      </c>
      <c r="K1345" s="17" t="s">
        <v>83</v>
      </c>
      <c r="L1345" s="17"/>
      <c r="M1345" s="17"/>
      <c r="N1345" s="52" t="s">
        <v>15741</v>
      </c>
      <c r="O1345" s="17" t="s">
        <v>1962</v>
      </c>
      <c r="P1345" s="17" t="s">
        <v>86</v>
      </c>
      <c r="Q1345" s="81" t="s">
        <v>15742</v>
      </c>
      <c r="R1345" s="11">
        <v>30.908441</v>
      </c>
      <c r="S1345" s="11">
        <v>-86.908096999999998</v>
      </c>
      <c r="T1345" s="11" t="s">
        <v>15743</v>
      </c>
      <c r="U1345" s="11" t="s">
        <v>15744</v>
      </c>
      <c r="V1345" s="17" t="s">
        <v>15745</v>
      </c>
      <c r="W1345" s="17" t="s">
        <v>110</v>
      </c>
      <c r="X1345" s="70">
        <v>165</v>
      </c>
      <c r="Y1345" s="70">
        <v>143</v>
      </c>
      <c r="Z1345" s="13">
        <v>33351</v>
      </c>
      <c r="AA1345" s="13">
        <v>33417</v>
      </c>
      <c r="AB1345" s="13">
        <v>33449</v>
      </c>
      <c r="AC1345" s="13">
        <v>33450</v>
      </c>
      <c r="AD1345" s="86">
        <v>15120</v>
      </c>
      <c r="AE1345" s="86">
        <v>15120</v>
      </c>
      <c r="AF1345" s="70" t="s">
        <v>14651</v>
      </c>
      <c r="AG1345" s="17" t="s">
        <v>15746</v>
      </c>
      <c r="AH1345" s="17" t="s">
        <v>94</v>
      </c>
      <c r="AI1345" s="70" t="s">
        <v>94</v>
      </c>
      <c r="AJ1345" s="17" t="s">
        <v>94</v>
      </c>
      <c r="AK1345" s="17" t="s">
        <v>95</v>
      </c>
      <c r="AL1345" s="17" t="s">
        <v>15747</v>
      </c>
      <c r="AM1345" s="17" t="s">
        <v>95</v>
      </c>
      <c r="AN1345" s="17" t="s">
        <v>94</v>
      </c>
      <c r="AO1345" s="17" t="s">
        <v>98</v>
      </c>
      <c r="AP1345" s="17" t="s">
        <v>98</v>
      </c>
      <c r="AQ1345" s="17" t="s">
        <v>98</v>
      </c>
      <c r="AR1345" s="17" t="s">
        <v>94</v>
      </c>
      <c r="AS1345" s="17" t="s">
        <v>15748</v>
      </c>
      <c r="AT1345" s="17"/>
      <c r="AU1345" s="30" t="s">
        <v>15749</v>
      </c>
      <c r="AV1345" s="14">
        <v>16671</v>
      </c>
      <c r="AW1345" s="74"/>
      <c r="AX1345" s="1"/>
      <c r="AY1345" s="17" t="s">
        <v>101</v>
      </c>
    </row>
    <row r="1346" spans="1:51" ht="12.75" customHeight="1" x14ac:dyDescent="0.25">
      <c r="A1346" s="5">
        <v>1271</v>
      </c>
      <c r="B1346" s="9">
        <v>1271</v>
      </c>
      <c r="C1346" s="9" t="s">
        <v>15750</v>
      </c>
      <c r="D1346" s="57" t="str">
        <f>HYPERLINK("http://prodenv.dep.state.fl.us/DepNexus/public/electronic-documents/OG_1271/facility!search","OG_1271_Docs")</f>
        <v>OG_1271_Docs</v>
      </c>
      <c r="E1346" s="57" t="str">
        <f>HYPERLINK("https://ca.dep.state.fl.us/mapdirect/?focus=oilandgas&amp;zoom=query&amp;querytype=oilandgas&amp;queryvalues=OG_1271","OG_1271_Map")</f>
        <v>OG_1271_Map</v>
      </c>
      <c r="F1346" s="1" t="s">
        <v>1797</v>
      </c>
      <c r="G1346" s="1" t="s">
        <v>79</v>
      </c>
      <c r="H1346" s="1" t="s">
        <v>13606</v>
      </c>
      <c r="I1346" s="1" t="s">
        <v>15751</v>
      </c>
      <c r="J1346" s="17" t="s">
        <v>82</v>
      </c>
      <c r="K1346" s="17" t="s">
        <v>83</v>
      </c>
      <c r="L1346" s="17"/>
      <c r="M1346" s="17"/>
      <c r="N1346" s="52" t="s">
        <v>15752</v>
      </c>
      <c r="O1346" s="17" t="s">
        <v>86</v>
      </c>
      <c r="P1346" s="17" t="s">
        <v>86</v>
      </c>
      <c r="Q1346" s="81" t="s">
        <v>14371</v>
      </c>
      <c r="R1346" s="11">
        <v>30.950887000000002</v>
      </c>
      <c r="S1346" s="11">
        <v>-87.107674000000003</v>
      </c>
      <c r="T1346" s="11" t="s">
        <v>15753</v>
      </c>
      <c r="U1346" s="11" t="s">
        <v>15754</v>
      </c>
      <c r="V1346" s="17" t="s">
        <v>15755</v>
      </c>
      <c r="W1346" s="17" t="s">
        <v>110</v>
      </c>
      <c r="X1346" s="70">
        <v>22</v>
      </c>
      <c r="Y1346" s="70">
        <v>225</v>
      </c>
      <c r="Z1346" s="13">
        <v>33464</v>
      </c>
      <c r="AA1346" s="13">
        <v>33481</v>
      </c>
      <c r="AB1346" s="13">
        <v>33521</v>
      </c>
      <c r="AC1346" s="13">
        <v>33523</v>
      </c>
      <c r="AD1346" s="86">
        <v>15368</v>
      </c>
      <c r="AE1346" s="86">
        <v>15368</v>
      </c>
      <c r="AF1346" s="70" t="s">
        <v>15756</v>
      </c>
      <c r="AG1346" s="17" t="s">
        <v>15757</v>
      </c>
      <c r="AH1346" s="17"/>
      <c r="AI1346" s="70"/>
      <c r="AJ1346" s="17"/>
      <c r="AK1346" s="17" t="s">
        <v>95</v>
      </c>
      <c r="AL1346" s="17"/>
      <c r="AM1346" s="17"/>
      <c r="AN1346" s="17" t="s">
        <v>94</v>
      </c>
      <c r="AO1346" s="17" t="s">
        <v>98</v>
      </c>
      <c r="AP1346" s="17" t="s">
        <v>98</v>
      </c>
      <c r="AQ1346" s="17" t="s">
        <v>98</v>
      </c>
      <c r="AR1346" s="17" t="s">
        <v>94</v>
      </c>
      <c r="AS1346" s="17" t="s">
        <v>15758</v>
      </c>
      <c r="AT1346" s="17"/>
      <c r="AU1346" s="30" t="s">
        <v>15759</v>
      </c>
      <c r="AV1346" s="14">
        <v>16688</v>
      </c>
      <c r="AW1346" s="74"/>
      <c r="AX1346" s="1"/>
      <c r="AY1346" s="17" t="s">
        <v>101</v>
      </c>
    </row>
    <row r="1347" spans="1:51" ht="12.75" customHeight="1" x14ac:dyDescent="0.25">
      <c r="A1347" s="5">
        <v>1272</v>
      </c>
      <c r="B1347" s="9">
        <v>1272</v>
      </c>
      <c r="C1347" s="9" t="s">
        <v>15760</v>
      </c>
      <c r="D1347" s="57" t="str">
        <f>HYPERLINK("http://prodenv.dep.state.fl.us/DepNexus/public/electronic-documents/OG_1272/facility!search","OG_1272_Docs")</f>
        <v>OG_1272_Docs</v>
      </c>
      <c r="E1347" s="57" t="str">
        <f>HYPERLINK("https://ca.dep.state.fl.us/mapdirect/?focus=oilandgas&amp;zoom=query&amp;querytype=oilandgas&amp;queryvalues=OG_1272","OG_1272_Map")</f>
        <v>OG_1272_Map</v>
      </c>
      <c r="F1347" s="1" t="s">
        <v>265</v>
      </c>
      <c r="G1347" s="1" t="s">
        <v>79</v>
      </c>
      <c r="H1347" s="1" t="s">
        <v>15761</v>
      </c>
      <c r="I1347" s="1" t="s">
        <v>15762</v>
      </c>
      <c r="J1347" s="17" t="s">
        <v>207</v>
      </c>
      <c r="K1347" s="17" t="s">
        <v>208</v>
      </c>
      <c r="L1347" s="17"/>
      <c r="M1347" s="17" t="s">
        <v>207</v>
      </c>
      <c r="N1347" s="52" t="s">
        <v>207</v>
      </c>
      <c r="O1347" s="17" t="s">
        <v>270</v>
      </c>
      <c r="P1347" s="17" t="s">
        <v>86</v>
      </c>
      <c r="Q1347" s="81" t="s">
        <v>15763</v>
      </c>
      <c r="R1347" s="11">
        <v>26.333317999999998</v>
      </c>
      <c r="S1347" s="11">
        <v>-81.501389000000003</v>
      </c>
      <c r="T1347" s="11" t="s">
        <v>15764</v>
      </c>
      <c r="U1347" s="11" t="s">
        <v>15765</v>
      </c>
      <c r="V1347" s="17" t="s">
        <v>15766</v>
      </c>
      <c r="W1347" s="17" t="s">
        <v>15767</v>
      </c>
      <c r="X1347" s="70"/>
      <c r="Y1347" s="70"/>
      <c r="Z1347" s="13">
        <v>33502</v>
      </c>
      <c r="AA1347" s="13"/>
      <c r="AB1347" s="13"/>
      <c r="AC1347" s="13"/>
      <c r="AD1347" s="86"/>
      <c r="AE1347" s="86"/>
      <c r="AF1347" s="70" t="s">
        <v>207</v>
      </c>
      <c r="AG1347" s="17" t="s">
        <v>207</v>
      </c>
      <c r="AH1347" s="17" t="s">
        <v>207</v>
      </c>
      <c r="AI1347" s="70" t="s">
        <v>207</v>
      </c>
      <c r="AJ1347" s="17" t="s">
        <v>207</v>
      </c>
      <c r="AK1347" s="17" t="s">
        <v>207</v>
      </c>
      <c r="AL1347" s="17" t="s">
        <v>207</v>
      </c>
      <c r="AM1347" s="17" t="s">
        <v>207</v>
      </c>
      <c r="AN1347" s="17" t="s">
        <v>207</v>
      </c>
      <c r="AO1347" s="17" t="s">
        <v>207</v>
      </c>
      <c r="AP1347" s="17" t="s">
        <v>207</v>
      </c>
      <c r="AQ1347" s="17" t="s">
        <v>207</v>
      </c>
      <c r="AR1347" s="17" t="s">
        <v>207</v>
      </c>
      <c r="AS1347" s="17" t="s">
        <v>207</v>
      </c>
      <c r="AT1347" s="17" t="s">
        <v>207</v>
      </c>
      <c r="AU1347" s="30" t="s">
        <v>1843</v>
      </c>
      <c r="AV1347" s="14" t="s">
        <v>207</v>
      </c>
      <c r="AW1347" s="74"/>
      <c r="AX1347" s="1"/>
      <c r="AY1347" s="17" t="s">
        <v>101</v>
      </c>
    </row>
    <row r="1348" spans="1:51" ht="12.75" customHeight="1" x14ac:dyDescent="0.25">
      <c r="A1348" s="5">
        <v>1273</v>
      </c>
      <c r="B1348" s="9">
        <v>1273</v>
      </c>
      <c r="C1348" s="9" t="s">
        <v>15768</v>
      </c>
      <c r="D1348" s="57" t="str">
        <f>HYPERLINK("http://prodenv.dep.state.fl.us/DepNexus/public/electronic-documents/OG_1273/facility!search","OG_1273_Docs")</f>
        <v>OG_1273_Docs</v>
      </c>
      <c r="E1348" s="57" t="str">
        <f>HYPERLINK("https://ca.dep.state.fl.us/mapdirect/?focus=oilandgas&amp;zoom=query&amp;querytype=oilandgas&amp;queryvalues=OG_1273","OG_1273_Map")</f>
        <v>OG_1273_Map</v>
      </c>
      <c r="F1348" s="1" t="s">
        <v>1797</v>
      </c>
      <c r="G1348" s="1" t="s">
        <v>79</v>
      </c>
      <c r="H1348" s="1" t="s">
        <v>15769</v>
      </c>
      <c r="I1348" s="1" t="s">
        <v>15770</v>
      </c>
      <c r="J1348" s="17" t="s">
        <v>82</v>
      </c>
      <c r="K1348" s="17" t="s">
        <v>83</v>
      </c>
      <c r="L1348" s="17"/>
      <c r="M1348" s="17"/>
      <c r="N1348" s="52" t="s">
        <v>15771</v>
      </c>
      <c r="O1348" s="17" t="s">
        <v>86</v>
      </c>
      <c r="P1348" s="17" t="s">
        <v>86</v>
      </c>
      <c r="Q1348" s="81" t="s">
        <v>15772</v>
      </c>
      <c r="R1348" s="11">
        <v>30.788035000000001</v>
      </c>
      <c r="S1348" s="11">
        <v>-87.048854000000006</v>
      </c>
      <c r="T1348" s="11" t="s">
        <v>15773</v>
      </c>
      <c r="U1348" s="11" t="s">
        <v>15774</v>
      </c>
      <c r="V1348" s="17" t="s">
        <v>15775</v>
      </c>
      <c r="W1348" s="17" t="s">
        <v>15776</v>
      </c>
      <c r="X1348" s="70">
        <v>163</v>
      </c>
      <c r="Y1348" s="70">
        <v>139</v>
      </c>
      <c r="Z1348" s="13">
        <v>33638</v>
      </c>
      <c r="AA1348" s="13">
        <v>33682</v>
      </c>
      <c r="AB1348" s="13">
        <v>33735</v>
      </c>
      <c r="AC1348" s="13">
        <v>33742</v>
      </c>
      <c r="AD1348" s="86">
        <v>16699</v>
      </c>
      <c r="AE1348" s="86">
        <v>16905</v>
      </c>
      <c r="AF1348" s="70" t="s">
        <v>14189</v>
      </c>
      <c r="AG1348" s="17" t="s">
        <v>15777</v>
      </c>
      <c r="AH1348" s="17" t="s">
        <v>94</v>
      </c>
      <c r="AI1348" s="70" t="s">
        <v>94</v>
      </c>
      <c r="AJ1348" s="17" t="s">
        <v>94</v>
      </c>
      <c r="AK1348" s="17" t="s">
        <v>95</v>
      </c>
      <c r="AL1348" s="17" t="s">
        <v>15778</v>
      </c>
      <c r="AM1348" s="17" t="s">
        <v>825</v>
      </c>
      <c r="AN1348" s="17" t="s">
        <v>86</v>
      </c>
      <c r="AO1348" s="17" t="s">
        <v>98</v>
      </c>
      <c r="AP1348" s="17" t="s">
        <v>98</v>
      </c>
      <c r="AQ1348" s="17" t="s">
        <v>98</v>
      </c>
      <c r="AR1348" s="17" t="s">
        <v>94</v>
      </c>
      <c r="AS1348" s="17" t="s">
        <v>15779</v>
      </c>
      <c r="AT1348" s="17"/>
      <c r="AU1348" s="30" t="s">
        <v>15780</v>
      </c>
      <c r="AV1348" s="14">
        <v>16886</v>
      </c>
      <c r="AW1348" s="74"/>
      <c r="AX1348" s="1"/>
      <c r="AY1348" s="17" t="s">
        <v>101</v>
      </c>
    </row>
    <row r="1349" spans="1:51" ht="12.75" customHeight="1" x14ac:dyDescent="0.25">
      <c r="A1349" s="5">
        <v>1274</v>
      </c>
      <c r="B1349" s="9">
        <v>1274</v>
      </c>
      <c r="C1349" s="9" t="s">
        <v>15781</v>
      </c>
      <c r="D1349" s="57" t="str">
        <f>HYPERLINK("http://prodenv.dep.state.fl.us/DepNexus/public/electronic-documents/OG_1274/facility!search","OG_1274_Docs")</f>
        <v>OG_1274_Docs</v>
      </c>
      <c r="E1349" s="57" t="str">
        <f>HYPERLINK("https://ca.dep.state.fl.us/mapdirect/?focus=oilandgas&amp;zoom=query&amp;querytype=oilandgas&amp;queryvalues=OG_1274","OG_1274_Map")</f>
        <v>OG_1274_Map</v>
      </c>
      <c r="F1349" s="1" t="s">
        <v>1797</v>
      </c>
      <c r="G1349" s="1" t="s">
        <v>79</v>
      </c>
      <c r="H1349" s="1" t="s">
        <v>15769</v>
      </c>
      <c r="I1349" s="1" t="s">
        <v>15782</v>
      </c>
      <c r="J1349" s="17" t="s">
        <v>207</v>
      </c>
      <c r="K1349" s="17" t="s">
        <v>208</v>
      </c>
      <c r="L1349" s="17"/>
      <c r="M1349" s="17" t="s">
        <v>207</v>
      </c>
      <c r="N1349" s="52" t="s">
        <v>207</v>
      </c>
      <c r="O1349" s="17" t="s">
        <v>86</v>
      </c>
      <c r="P1349" s="17" t="s">
        <v>86</v>
      </c>
      <c r="Q1349" s="81" t="s">
        <v>15772</v>
      </c>
      <c r="R1349" s="11">
        <v>30.787996</v>
      </c>
      <c r="S1349" s="11">
        <v>-87.048765000000003</v>
      </c>
      <c r="T1349" s="11" t="s">
        <v>15783</v>
      </c>
      <c r="U1349" s="11" t="s">
        <v>15784</v>
      </c>
      <c r="V1349" s="17" t="s">
        <v>15785</v>
      </c>
      <c r="W1349" s="17" t="s">
        <v>15786</v>
      </c>
      <c r="X1349" s="70"/>
      <c r="Y1349" s="70"/>
      <c r="Z1349" s="13">
        <v>33638</v>
      </c>
      <c r="AA1349" s="13"/>
      <c r="AB1349" s="13"/>
      <c r="AC1349" s="13"/>
      <c r="AD1349" s="86"/>
      <c r="AE1349" s="86"/>
      <c r="AF1349" s="70" t="s">
        <v>207</v>
      </c>
      <c r="AG1349" s="14" t="s">
        <v>207</v>
      </c>
      <c r="AH1349" s="14" t="s">
        <v>207</v>
      </c>
      <c r="AI1349" s="70" t="s">
        <v>207</v>
      </c>
      <c r="AJ1349" s="14" t="s">
        <v>207</v>
      </c>
      <c r="AK1349" s="14" t="s">
        <v>207</v>
      </c>
      <c r="AL1349" s="14" t="s">
        <v>207</v>
      </c>
      <c r="AM1349" s="14" t="s">
        <v>207</v>
      </c>
      <c r="AN1349" s="14" t="s">
        <v>207</v>
      </c>
      <c r="AO1349" s="14" t="s">
        <v>207</v>
      </c>
      <c r="AP1349" s="14" t="s">
        <v>207</v>
      </c>
      <c r="AQ1349" s="14" t="s">
        <v>207</v>
      </c>
      <c r="AR1349" s="14" t="s">
        <v>207</v>
      </c>
      <c r="AS1349" s="17" t="s">
        <v>207</v>
      </c>
      <c r="AT1349" s="17"/>
      <c r="AU1349" s="30" t="s">
        <v>1843</v>
      </c>
      <c r="AV1349" s="14" t="s">
        <v>207</v>
      </c>
      <c r="AW1349" s="74"/>
      <c r="AX1349" s="1"/>
      <c r="AY1349" s="17" t="s">
        <v>101</v>
      </c>
    </row>
    <row r="1350" spans="1:51" ht="12.75" customHeight="1" x14ac:dyDescent="0.25">
      <c r="A1350" s="5">
        <v>1275</v>
      </c>
      <c r="B1350" s="9">
        <v>1275</v>
      </c>
      <c r="C1350" s="9" t="s">
        <v>15787</v>
      </c>
      <c r="D1350" s="57" t="str">
        <f>HYPERLINK("http://prodenv.dep.state.fl.us/DepNexus/public/electronic-documents/OG_1275/facility!search","OG_1275_Docs")</f>
        <v>OG_1275_Docs</v>
      </c>
      <c r="E1350" s="57" t="str">
        <f>HYPERLINK("https://ca.dep.state.fl.us/mapdirect/?focus=oilandgas&amp;zoom=query&amp;querytype=oilandgas&amp;queryvalues=OG_1275","OG_1275_Map")</f>
        <v>OG_1275_Map</v>
      </c>
      <c r="F1350" s="1" t="s">
        <v>265</v>
      </c>
      <c r="G1350" s="1" t="s">
        <v>79</v>
      </c>
      <c r="H1350" s="1" t="s">
        <v>15788</v>
      </c>
      <c r="I1350" s="1" t="s">
        <v>15789</v>
      </c>
      <c r="J1350" s="17" t="s">
        <v>82</v>
      </c>
      <c r="K1350" s="17" t="s">
        <v>83</v>
      </c>
      <c r="L1350" s="17"/>
      <c r="M1350" s="17" t="s">
        <v>84</v>
      </c>
      <c r="N1350" s="52" t="s">
        <v>15790</v>
      </c>
      <c r="O1350" s="17" t="s">
        <v>270</v>
      </c>
      <c r="P1350" s="17" t="s">
        <v>86</v>
      </c>
      <c r="Q1350" s="81" t="s">
        <v>15791</v>
      </c>
      <c r="R1350" s="11">
        <v>26.377199000000001</v>
      </c>
      <c r="S1350" s="11">
        <v>-81.519739000000001</v>
      </c>
      <c r="T1350" s="11" t="s">
        <v>15792</v>
      </c>
      <c r="U1350" s="11" t="s">
        <v>15793</v>
      </c>
      <c r="V1350" s="17" t="s">
        <v>15794</v>
      </c>
      <c r="W1350" s="17" t="s">
        <v>15795</v>
      </c>
      <c r="X1350" s="70">
        <v>43</v>
      </c>
      <c r="Y1350" s="70">
        <v>23</v>
      </c>
      <c r="Z1350" s="13">
        <v>33752</v>
      </c>
      <c r="AA1350" s="13">
        <v>33831</v>
      </c>
      <c r="AB1350" s="13">
        <v>33913</v>
      </c>
      <c r="AC1350" s="13">
        <v>33958</v>
      </c>
      <c r="AD1350" s="86">
        <v>11933</v>
      </c>
      <c r="AE1350" s="86">
        <v>15234</v>
      </c>
      <c r="AF1350" s="70" t="s">
        <v>15796</v>
      </c>
      <c r="AG1350" s="17" t="s">
        <v>15797</v>
      </c>
      <c r="AH1350" s="17" t="s">
        <v>15798</v>
      </c>
      <c r="AI1350" s="70" t="s">
        <v>94</v>
      </c>
      <c r="AJ1350" s="17" t="s">
        <v>94</v>
      </c>
      <c r="AK1350" s="17" t="s">
        <v>95</v>
      </c>
      <c r="AL1350" s="17" t="s">
        <v>15799</v>
      </c>
      <c r="AM1350" s="17" t="s">
        <v>95</v>
      </c>
      <c r="AN1350" s="17" t="s">
        <v>15800</v>
      </c>
      <c r="AO1350" s="17" t="s">
        <v>98</v>
      </c>
      <c r="AP1350" s="17" t="s">
        <v>98</v>
      </c>
      <c r="AQ1350" s="17" t="s">
        <v>98</v>
      </c>
      <c r="AR1350" s="17" t="s">
        <v>94</v>
      </c>
      <c r="AS1350" s="17" t="s">
        <v>15801</v>
      </c>
      <c r="AT1350" s="17">
        <v>155</v>
      </c>
      <c r="AU1350" s="30" t="s">
        <v>15802</v>
      </c>
      <c r="AV1350" s="14">
        <v>16883</v>
      </c>
      <c r="AW1350" s="74"/>
      <c r="AX1350" s="1"/>
      <c r="AY1350" s="17" t="s">
        <v>101</v>
      </c>
    </row>
    <row r="1351" spans="1:51" ht="12.75" customHeight="1" x14ac:dyDescent="0.25">
      <c r="A1351" s="5">
        <v>1275.0999999999999</v>
      </c>
      <c r="B1351" s="9" t="s">
        <v>15803</v>
      </c>
      <c r="C1351" s="9" t="s">
        <v>15787</v>
      </c>
      <c r="D1351" s="57" t="str">
        <f>HYPERLINK("http://prodenv.dep.state.fl.us/DepNexus/public/electronic-documents/OG_1275/facility!search","OG_1275_Docs")</f>
        <v>OG_1275_Docs</v>
      </c>
      <c r="E1351" s="57" t="str">
        <f>HYPERLINK("https://ca.dep.state.fl.us/mapdirect/?focus=oilandgas&amp;zoom=query&amp;querytype=oilandgas&amp;queryvalues=OG_1275","OG_1275_Map")</f>
        <v>OG_1275_Map</v>
      </c>
      <c r="F1351" s="1" t="s">
        <v>265</v>
      </c>
      <c r="G1351" s="1" t="s">
        <v>79</v>
      </c>
      <c r="H1351" s="1" t="s">
        <v>15788</v>
      </c>
      <c r="I1351" s="1" t="s">
        <v>15804</v>
      </c>
      <c r="J1351" s="17" t="s">
        <v>82</v>
      </c>
      <c r="K1351" s="17" t="s">
        <v>83</v>
      </c>
      <c r="L1351" s="17"/>
      <c r="M1351" s="17" t="s">
        <v>84</v>
      </c>
      <c r="N1351" s="52" t="s">
        <v>15790</v>
      </c>
      <c r="O1351" s="17" t="s">
        <v>270</v>
      </c>
      <c r="P1351" s="17" t="s">
        <v>86</v>
      </c>
      <c r="Q1351" s="81" t="s">
        <v>15791</v>
      </c>
      <c r="R1351" s="11">
        <v>26.377199000000001</v>
      </c>
      <c r="S1351" s="11">
        <v>-81.519739000000001</v>
      </c>
      <c r="T1351" s="11" t="s">
        <v>15792</v>
      </c>
      <c r="U1351" s="11" t="s">
        <v>15793</v>
      </c>
      <c r="V1351" s="17" t="s">
        <v>15794</v>
      </c>
      <c r="W1351" s="17" t="s">
        <v>15795</v>
      </c>
      <c r="X1351" s="70">
        <v>43</v>
      </c>
      <c r="Y1351" s="70">
        <v>23</v>
      </c>
      <c r="Z1351" s="13">
        <v>33752</v>
      </c>
      <c r="AA1351" s="13">
        <v>33831</v>
      </c>
      <c r="AB1351" s="13">
        <v>33913</v>
      </c>
      <c r="AC1351" s="13">
        <v>33958</v>
      </c>
      <c r="AD1351" s="86">
        <v>11933</v>
      </c>
      <c r="AE1351" s="86">
        <v>15234</v>
      </c>
      <c r="AF1351" s="70" t="s">
        <v>15796</v>
      </c>
      <c r="AG1351" s="17" t="s">
        <v>15797</v>
      </c>
      <c r="AH1351" s="17" t="s">
        <v>15798</v>
      </c>
      <c r="AI1351" s="70" t="s">
        <v>94</v>
      </c>
      <c r="AJ1351" s="17" t="s">
        <v>94</v>
      </c>
      <c r="AK1351" s="17" t="s">
        <v>95</v>
      </c>
      <c r="AL1351" s="17" t="s">
        <v>15799</v>
      </c>
      <c r="AM1351" s="17" t="s">
        <v>95</v>
      </c>
      <c r="AN1351" s="17" t="s">
        <v>15800</v>
      </c>
      <c r="AO1351" s="17" t="s">
        <v>98</v>
      </c>
      <c r="AP1351" s="17" t="s">
        <v>98</v>
      </c>
      <c r="AQ1351" s="17" t="s">
        <v>98</v>
      </c>
      <c r="AR1351" s="17" t="s">
        <v>94</v>
      </c>
      <c r="AS1351" s="17" t="s">
        <v>15801</v>
      </c>
      <c r="AT1351" s="17">
        <v>155</v>
      </c>
      <c r="AU1351" s="30" t="s">
        <v>15805</v>
      </c>
      <c r="AV1351" s="14">
        <v>16883</v>
      </c>
      <c r="AW1351" s="74"/>
      <c r="AX1351" s="1"/>
      <c r="AY1351" s="17" t="s">
        <v>101</v>
      </c>
    </row>
    <row r="1352" spans="1:51" ht="12.75" customHeight="1" x14ac:dyDescent="0.25">
      <c r="A1352" s="5">
        <v>1276</v>
      </c>
      <c r="B1352" s="9">
        <v>1276</v>
      </c>
      <c r="C1352" s="9" t="s">
        <v>15806</v>
      </c>
      <c r="D1352" s="57" t="str">
        <f>HYPERLINK("http://prodenv.dep.state.fl.us/DepNexus/public/electronic-documents/OG_1276/facility!search","OG_1276_Docs")</f>
        <v>OG_1276_Docs</v>
      </c>
      <c r="E1352" s="57" t="str">
        <f>HYPERLINK("https://ca.dep.state.fl.us/mapdirect/?focus=oilandgas&amp;zoom=query&amp;querytype=oilandgas&amp;queryvalues=OG_1276","OG_1276_Map")</f>
        <v>OG_1276_Map</v>
      </c>
      <c r="F1352" s="1" t="s">
        <v>265</v>
      </c>
      <c r="G1352" s="1" t="s">
        <v>79</v>
      </c>
      <c r="H1352" s="1" t="s">
        <v>15788</v>
      </c>
      <c r="I1352" s="1" t="s">
        <v>15807</v>
      </c>
      <c r="J1352" s="17" t="s">
        <v>207</v>
      </c>
      <c r="K1352" s="17" t="s">
        <v>15808</v>
      </c>
      <c r="L1352" s="14"/>
      <c r="M1352" s="17" t="s">
        <v>207</v>
      </c>
      <c r="N1352" s="52" t="s">
        <v>207</v>
      </c>
      <c r="O1352" s="17" t="s">
        <v>270</v>
      </c>
      <c r="P1352" s="17" t="s">
        <v>86</v>
      </c>
      <c r="Q1352" s="81" t="s">
        <v>15809</v>
      </c>
      <c r="R1352" s="11">
        <v>26.369524999999999</v>
      </c>
      <c r="S1352" s="11">
        <v>-81.493692999999993</v>
      </c>
      <c r="T1352" s="11" t="s">
        <v>15810</v>
      </c>
      <c r="U1352" s="11" t="s">
        <v>15811</v>
      </c>
      <c r="V1352" s="17" t="s">
        <v>15812</v>
      </c>
      <c r="W1352" s="17" t="s">
        <v>15813</v>
      </c>
      <c r="X1352" s="70"/>
      <c r="Y1352" s="70"/>
      <c r="Z1352" s="13"/>
      <c r="AA1352" s="13"/>
      <c r="AB1352" s="13"/>
      <c r="AC1352" s="13"/>
      <c r="AD1352" s="70"/>
      <c r="AE1352" s="70"/>
      <c r="AF1352" s="70" t="s">
        <v>207</v>
      </c>
      <c r="AG1352" s="14" t="s">
        <v>207</v>
      </c>
      <c r="AH1352" s="14" t="s">
        <v>207</v>
      </c>
      <c r="AI1352" s="70" t="s">
        <v>207</v>
      </c>
      <c r="AJ1352" s="14" t="s">
        <v>207</v>
      </c>
      <c r="AK1352" s="14" t="s">
        <v>207</v>
      </c>
      <c r="AL1352" s="14" t="s">
        <v>207</v>
      </c>
      <c r="AM1352" s="14" t="s">
        <v>207</v>
      </c>
      <c r="AN1352" s="14" t="s">
        <v>207</v>
      </c>
      <c r="AO1352" s="14" t="s">
        <v>207</v>
      </c>
      <c r="AP1352" s="14" t="s">
        <v>207</v>
      </c>
      <c r="AQ1352" s="14" t="s">
        <v>207</v>
      </c>
      <c r="AR1352" s="14" t="s">
        <v>207</v>
      </c>
      <c r="AS1352" s="14" t="s">
        <v>207</v>
      </c>
      <c r="AT1352" s="14" t="s">
        <v>207</v>
      </c>
      <c r="AU1352" s="30" t="s">
        <v>1843</v>
      </c>
      <c r="AV1352" s="13" t="s">
        <v>207</v>
      </c>
      <c r="AW1352" s="74"/>
      <c r="AX1352" s="14" t="s">
        <v>15808</v>
      </c>
      <c r="AY1352" s="17" t="s">
        <v>101</v>
      </c>
    </row>
    <row r="1353" spans="1:51" ht="12.75" customHeight="1" x14ac:dyDescent="0.25">
      <c r="A1353" s="5">
        <v>1277</v>
      </c>
      <c r="B1353" s="9">
        <v>1277</v>
      </c>
      <c r="C1353" s="9" t="s">
        <v>15814</v>
      </c>
      <c r="D1353" s="57" t="str">
        <f>HYPERLINK("http://prodenv.dep.state.fl.us/DepNexus/public/electronic-documents/OG_1277/facility!search","OG_1277_Docs")</f>
        <v>OG_1277_Docs</v>
      </c>
      <c r="E1353" s="57" t="str">
        <f>HYPERLINK("https://ca.dep.state.fl.us/mapdirect/?focus=oilandgas&amp;zoom=query&amp;querytype=oilandgas&amp;queryvalues=OG_1277","OG_1277_Map")</f>
        <v>OG_1277_Map</v>
      </c>
      <c r="F1353" s="1" t="s">
        <v>265</v>
      </c>
      <c r="G1353" s="1" t="s">
        <v>79</v>
      </c>
      <c r="H1353" s="1" t="s">
        <v>909</v>
      </c>
      <c r="I1353" s="1" t="s">
        <v>15815</v>
      </c>
      <c r="J1353" s="17" t="s">
        <v>207</v>
      </c>
      <c r="K1353" s="17" t="s">
        <v>208</v>
      </c>
      <c r="L1353" s="14"/>
      <c r="M1353" s="17" t="s">
        <v>207</v>
      </c>
      <c r="N1353" s="52" t="s">
        <v>207</v>
      </c>
      <c r="O1353" s="17" t="s">
        <v>13619</v>
      </c>
      <c r="P1353" s="17" t="s">
        <v>86</v>
      </c>
      <c r="Q1353" s="81" t="s">
        <v>13619</v>
      </c>
      <c r="R1353" s="11">
        <v>26.136662000000001</v>
      </c>
      <c r="S1353" s="11">
        <v>-81.951662999999996</v>
      </c>
      <c r="T1353" s="11" t="s">
        <v>15816</v>
      </c>
      <c r="U1353" s="11" t="s">
        <v>15817</v>
      </c>
      <c r="V1353" s="17" t="s">
        <v>233</v>
      </c>
      <c r="W1353" s="17"/>
      <c r="X1353" s="70"/>
      <c r="Y1353" s="70"/>
      <c r="Z1353" s="13"/>
      <c r="AA1353" s="13"/>
      <c r="AB1353" s="13"/>
      <c r="AC1353" s="13"/>
      <c r="AD1353" s="70"/>
      <c r="AE1353" s="70"/>
      <c r="AF1353" s="70" t="s">
        <v>207</v>
      </c>
      <c r="AG1353" s="14" t="s">
        <v>207</v>
      </c>
      <c r="AH1353" s="14" t="s">
        <v>207</v>
      </c>
      <c r="AI1353" s="70" t="s">
        <v>207</v>
      </c>
      <c r="AJ1353" s="14" t="s">
        <v>207</v>
      </c>
      <c r="AK1353" s="14" t="s">
        <v>207</v>
      </c>
      <c r="AL1353" s="14" t="s">
        <v>207</v>
      </c>
      <c r="AM1353" s="14" t="s">
        <v>207</v>
      </c>
      <c r="AN1353" s="14" t="s">
        <v>207</v>
      </c>
      <c r="AO1353" s="14" t="s">
        <v>207</v>
      </c>
      <c r="AP1353" s="14" t="s">
        <v>207</v>
      </c>
      <c r="AQ1353" s="14" t="s">
        <v>207</v>
      </c>
      <c r="AR1353" s="14" t="s">
        <v>207</v>
      </c>
      <c r="AS1353" s="14" t="s">
        <v>207</v>
      </c>
      <c r="AT1353" s="14" t="s">
        <v>207</v>
      </c>
      <c r="AU1353" s="30" t="s">
        <v>1843</v>
      </c>
      <c r="AV1353" s="13" t="s">
        <v>207</v>
      </c>
      <c r="AW1353" s="74"/>
      <c r="AX1353" s="14" t="s">
        <v>13506</v>
      </c>
      <c r="AY1353" s="17" t="s">
        <v>101</v>
      </c>
    </row>
    <row r="1354" spans="1:51" ht="12.75" customHeight="1" x14ac:dyDescent="0.25">
      <c r="A1354" s="5">
        <v>1278</v>
      </c>
      <c r="B1354" s="9">
        <v>1278</v>
      </c>
      <c r="C1354" s="9" t="s">
        <v>15818</v>
      </c>
      <c r="D1354" s="57" t="str">
        <f>HYPERLINK("http://prodenv.dep.state.fl.us/DepNexus/public/electronic-documents/OG_1278/facility!search","OG_1278_Docs")</f>
        <v>OG_1278_Docs</v>
      </c>
      <c r="E1354" s="57" t="str">
        <f>HYPERLINK("https://ca.dep.state.fl.us/mapdirect/?focus=oilandgas&amp;zoom=query&amp;querytype=oilandgas&amp;queryvalues=OG_1278","OG_1278_Map")</f>
        <v>OG_1278_Map</v>
      </c>
      <c r="F1354" s="1" t="s">
        <v>2222</v>
      </c>
      <c r="G1354" s="1" t="s">
        <v>79</v>
      </c>
      <c r="H1354" s="1" t="s">
        <v>909</v>
      </c>
      <c r="I1354" s="1" t="s">
        <v>15819</v>
      </c>
      <c r="J1354" s="17" t="s">
        <v>207</v>
      </c>
      <c r="K1354" s="17" t="s">
        <v>208</v>
      </c>
      <c r="L1354" s="14"/>
      <c r="M1354" s="17" t="s">
        <v>207</v>
      </c>
      <c r="N1354" s="52" t="s">
        <v>207</v>
      </c>
      <c r="O1354" s="17" t="s">
        <v>13619</v>
      </c>
      <c r="P1354" s="17" t="s">
        <v>86</v>
      </c>
      <c r="Q1354" s="81" t="s">
        <v>13619</v>
      </c>
      <c r="R1354" s="11">
        <v>26.884827999999999</v>
      </c>
      <c r="S1354" s="11">
        <v>-82.480829999999997</v>
      </c>
      <c r="T1354" s="11" t="s">
        <v>15820</v>
      </c>
      <c r="U1354" s="11" t="s">
        <v>15821</v>
      </c>
      <c r="V1354" s="17" t="s">
        <v>233</v>
      </c>
      <c r="W1354" s="17"/>
      <c r="X1354" s="70"/>
      <c r="Y1354" s="70"/>
      <c r="Z1354" s="13"/>
      <c r="AA1354" s="13"/>
      <c r="AB1354" s="13"/>
      <c r="AC1354" s="13"/>
      <c r="AD1354" s="70"/>
      <c r="AE1354" s="70"/>
      <c r="AF1354" s="70" t="s">
        <v>207</v>
      </c>
      <c r="AG1354" s="14" t="s">
        <v>207</v>
      </c>
      <c r="AH1354" s="14" t="s">
        <v>207</v>
      </c>
      <c r="AI1354" s="70" t="s">
        <v>207</v>
      </c>
      <c r="AJ1354" s="14" t="s">
        <v>207</v>
      </c>
      <c r="AK1354" s="14" t="s">
        <v>207</v>
      </c>
      <c r="AL1354" s="14" t="s">
        <v>207</v>
      </c>
      <c r="AM1354" s="14" t="s">
        <v>207</v>
      </c>
      <c r="AN1354" s="14" t="s">
        <v>207</v>
      </c>
      <c r="AO1354" s="14" t="s">
        <v>207</v>
      </c>
      <c r="AP1354" s="14" t="s">
        <v>207</v>
      </c>
      <c r="AQ1354" s="14" t="s">
        <v>207</v>
      </c>
      <c r="AR1354" s="14" t="s">
        <v>207</v>
      </c>
      <c r="AS1354" s="14" t="s">
        <v>207</v>
      </c>
      <c r="AT1354" s="14" t="s">
        <v>207</v>
      </c>
      <c r="AU1354" s="30" t="s">
        <v>1843</v>
      </c>
      <c r="AV1354" s="13" t="s">
        <v>207</v>
      </c>
      <c r="AW1354" s="74"/>
      <c r="AX1354" s="14" t="s">
        <v>13506</v>
      </c>
      <c r="AY1354" s="17" t="s">
        <v>101</v>
      </c>
    </row>
    <row r="1355" spans="1:51" ht="12.75" customHeight="1" x14ac:dyDescent="0.25">
      <c r="A1355" s="5">
        <v>1279</v>
      </c>
      <c r="B1355" s="9">
        <v>1279</v>
      </c>
      <c r="C1355" s="9" t="s">
        <v>15822</v>
      </c>
      <c r="D1355" s="57" t="str">
        <f>HYPERLINK("http://prodenv.dep.state.fl.us/DepNexus/public/electronic-documents/OG_1279/facility!search","OG_1279_Docs")</f>
        <v>OG_1279_Docs</v>
      </c>
      <c r="E1355" s="57" t="str">
        <f>HYPERLINK("https://ca.dep.state.fl.us/mapdirect/?focus=oilandgas&amp;zoom=query&amp;querytype=oilandgas&amp;queryvalues=OG_1279","OG_1279_Map")</f>
        <v>OG_1279_Map</v>
      </c>
      <c r="F1355" s="1" t="s">
        <v>15823</v>
      </c>
      <c r="G1355" s="1" t="s">
        <v>79</v>
      </c>
      <c r="H1355" s="1" t="s">
        <v>909</v>
      </c>
      <c r="I1355" s="1" t="s">
        <v>15824</v>
      </c>
      <c r="J1355" s="17" t="s">
        <v>207</v>
      </c>
      <c r="K1355" s="17" t="s">
        <v>208</v>
      </c>
      <c r="L1355" s="14"/>
      <c r="M1355" s="17" t="s">
        <v>207</v>
      </c>
      <c r="N1355" s="52" t="s">
        <v>207</v>
      </c>
      <c r="O1355" s="17" t="s">
        <v>13619</v>
      </c>
      <c r="P1355" s="17" t="s">
        <v>86</v>
      </c>
      <c r="Q1355" s="81" t="s">
        <v>13619</v>
      </c>
      <c r="R1355" s="11">
        <v>27.009995</v>
      </c>
      <c r="S1355" s="11">
        <v>-82.571663000000001</v>
      </c>
      <c r="T1355" s="11" t="s">
        <v>15825</v>
      </c>
      <c r="U1355" s="11" t="s">
        <v>15826</v>
      </c>
      <c r="V1355" s="17" t="s">
        <v>233</v>
      </c>
      <c r="W1355" s="17"/>
      <c r="X1355" s="70"/>
      <c r="Y1355" s="70"/>
      <c r="Z1355" s="13"/>
      <c r="AA1355" s="13"/>
      <c r="AB1355" s="13"/>
      <c r="AC1355" s="13"/>
      <c r="AD1355" s="70"/>
      <c r="AE1355" s="70"/>
      <c r="AF1355" s="70" t="s">
        <v>207</v>
      </c>
      <c r="AG1355" s="14" t="s">
        <v>207</v>
      </c>
      <c r="AH1355" s="14" t="s">
        <v>207</v>
      </c>
      <c r="AI1355" s="70" t="s">
        <v>207</v>
      </c>
      <c r="AJ1355" s="14" t="s">
        <v>207</v>
      </c>
      <c r="AK1355" s="14" t="s">
        <v>207</v>
      </c>
      <c r="AL1355" s="14" t="s">
        <v>207</v>
      </c>
      <c r="AM1355" s="14" t="s">
        <v>207</v>
      </c>
      <c r="AN1355" s="14" t="s">
        <v>207</v>
      </c>
      <c r="AO1355" s="14" t="s">
        <v>207</v>
      </c>
      <c r="AP1355" s="14" t="s">
        <v>207</v>
      </c>
      <c r="AQ1355" s="14" t="s">
        <v>207</v>
      </c>
      <c r="AR1355" s="14" t="s">
        <v>207</v>
      </c>
      <c r="AS1355" s="14" t="s">
        <v>207</v>
      </c>
      <c r="AT1355" s="14" t="s">
        <v>207</v>
      </c>
      <c r="AU1355" s="30" t="s">
        <v>1843</v>
      </c>
      <c r="AV1355" s="13" t="s">
        <v>207</v>
      </c>
      <c r="AW1355" s="74"/>
      <c r="AX1355" s="14" t="s">
        <v>13506</v>
      </c>
      <c r="AY1355" s="17" t="s">
        <v>101</v>
      </c>
    </row>
    <row r="1356" spans="1:51" ht="12.75" customHeight="1" x14ac:dyDescent="0.25">
      <c r="A1356" s="5">
        <v>1280</v>
      </c>
      <c r="B1356" s="9">
        <v>1280</v>
      </c>
      <c r="C1356" s="9" t="s">
        <v>15827</v>
      </c>
      <c r="D1356" s="57" t="str">
        <f>HYPERLINK("http://prodenv.dep.state.fl.us/DepNexus/public/electronic-documents/OG_1280/facility!search","OG_1280_Docs")</f>
        <v>OG_1280_Docs</v>
      </c>
      <c r="E1356" s="57" t="str">
        <f>HYPERLINK("https://ca.dep.state.fl.us/mapdirect/?focus=oilandgas&amp;zoom=query&amp;querytype=oilandgas&amp;queryvalues=OG_1280","OG_1280_Map")</f>
        <v>OG_1280_Map</v>
      </c>
      <c r="F1356" s="1" t="s">
        <v>191</v>
      </c>
      <c r="G1356" s="1" t="s">
        <v>79</v>
      </c>
      <c r="H1356" s="1" t="s">
        <v>909</v>
      </c>
      <c r="I1356" s="1" t="s">
        <v>15828</v>
      </c>
      <c r="J1356" s="17" t="s">
        <v>207</v>
      </c>
      <c r="K1356" s="17" t="s">
        <v>208</v>
      </c>
      <c r="L1356" s="14"/>
      <c r="M1356" s="17" t="s">
        <v>207</v>
      </c>
      <c r="N1356" s="52" t="s">
        <v>207</v>
      </c>
      <c r="O1356" s="17" t="s">
        <v>13619</v>
      </c>
      <c r="P1356" s="17" t="s">
        <v>86</v>
      </c>
      <c r="Q1356" s="81" t="s">
        <v>13619</v>
      </c>
      <c r="R1356" s="11">
        <v>29.618328000000002</v>
      </c>
      <c r="S1356" s="11">
        <v>-84.653328999999999</v>
      </c>
      <c r="T1356" s="11" t="s">
        <v>15829</v>
      </c>
      <c r="U1356" s="11" t="s">
        <v>15830</v>
      </c>
      <c r="V1356" s="17" t="s">
        <v>233</v>
      </c>
      <c r="W1356" s="17"/>
      <c r="X1356" s="70"/>
      <c r="Y1356" s="70"/>
      <c r="Z1356" s="13"/>
      <c r="AA1356" s="13"/>
      <c r="AB1356" s="13"/>
      <c r="AC1356" s="13"/>
      <c r="AD1356" s="70"/>
      <c r="AE1356" s="70"/>
      <c r="AF1356" s="70" t="s">
        <v>207</v>
      </c>
      <c r="AG1356" s="14" t="s">
        <v>207</v>
      </c>
      <c r="AH1356" s="14" t="s">
        <v>207</v>
      </c>
      <c r="AI1356" s="70" t="s">
        <v>207</v>
      </c>
      <c r="AJ1356" s="14" t="s">
        <v>207</v>
      </c>
      <c r="AK1356" s="14" t="s">
        <v>207</v>
      </c>
      <c r="AL1356" s="14" t="s">
        <v>207</v>
      </c>
      <c r="AM1356" s="14" t="s">
        <v>207</v>
      </c>
      <c r="AN1356" s="14" t="s">
        <v>207</v>
      </c>
      <c r="AO1356" s="14" t="s">
        <v>207</v>
      </c>
      <c r="AP1356" s="14" t="s">
        <v>207</v>
      </c>
      <c r="AQ1356" s="14" t="s">
        <v>207</v>
      </c>
      <c r="AR1356" s="14" t="s">
        <v>207</v>
      </c>
      <c r="AS1356" s="14" t="s">
        <v>207</v>
      </c>
      <c r="AT1356" s="14" t="s">
        <v>207</v>
      </c>
      <c r="AU1356" s="30" t="s">
        <v>1843</v>
      </c>
      <c r="AV1356" s="13" t="s">
        <v>207</v>
      </c>
      <c r="AW1356" s="74"/>
      <c r="AX1356" s="14" t="s">
        <v>13506</v>
      </c>
      <c r="AY1356" s="17" t="s">
        <v>101</v>
      </c>
    </row>
    <row r="1357" spans="1:51" ht="12.75" customHeight="1" x14ac:dyDescent="0.25">
      <c r="A1357" s="5">
        <v>1281</v>
      </c>
      <c r="B1357" s="9">
        <v>1281</v>
      </c>
      <c r="C1357" s="9" t="s">
        <v>15831</v>
      </c>
      <c r="D1357" s="57" t="str">
        <f>HYPERLINK("http://prodenv.dep.state.fl.us/DepNexus/public/electronic-documents/OG_1281/facility!search","OG_1281_Docs")</f>
        <v>OG_1281_Docs</v>
      </c>
      <c r="E1357" s="57" t="str">
        <f>HYPERLINK("https://ca.dep.state.fl.us/mapdirect/?focus=oilandgas&amp;zoom=query&amp;querytype=oilandgas&amp;queryvalues=OG_1281","OG_1281_Map")</f>
        <v>OG_1281_Map</v>
      </c>
      <c r="F1357" s="1" t="s">
        <v>191</v>
      </c>
      <c r="G1357" s="1" t="s">
        <v>79</v>
      </c>
      <c r="H1357" s="1" t="s">
        <v>909</v>
      </c>
      <c r="I1357" s="1" t="s">
        <v>15828</v>
      </c>
      <c r="J1357" s="17" t="s">
        <v>207</v>
      </c>
      <c r="K1357" s="17" t="s">
        <v>208</v>
      </c>
      <c r="L1357" s="14"/>
      <c r="M1357" s="17" t="s">
        <v>207</v>
      </c>
      <c r="N1357" s="52" t="s">
        <v>207</v>
      </c>
      <c r="O1357" s="17" t="s">
        <v>13619</v>
      </c>
      <c r="P1357" s="17" t="s">
        <v>86</v>
      </c>
      <c r="Q1357" s="81" t="s">
        <v>13619</v>
      </c>
      <c r="R1357" s="11">
        <v>29.496828000000001</v>
      </c>
      <c r="S1357" s="11">
        <v>-84.885829000000001</v>
      </c>
      <c r="T1357" s="11" t="s">
        <v>15832</v>
      </c>
      <c r="U1357" s="11" t="s">
        <v>15833</v>
      </c>
      <c r="V1357" s="17" t="s">
        <v>233</v>
      </c>
      <c r="W1357" s="17"/>
      <c r="X1357" s="70"/>
      <c r="Y1357" s="70"/>
      <c r="Z1357" s="13"/>
      <c r="AA1357" s="13"/>
      <c r="AB1357" s="13"/>
      <c r="AC1357" s="13"/>
      <c r="AD1357" s="70"/>
      <c r="AE1357" s="70"/>
      <c r="AF1357" s="70" t="s">
        <v>207</v>
      </c>
      <c r="AG1357" s="14" t="s">
        <v>207</v>
      </c>
      <c r="AH1357" s="14" t="s">
        <v>207</v>
      </c>
      <c r="AI1357" s="70" t="s">
        <v>207</v>
      </c>
      <c r="AJ1357" s="14" t="s">
        <v>207</v>
      </c>
      <c r="AK1357" s="14" t="s">
        <v>207</v>
      </c>
      <c r="AL1357" s="14" t="s">
        <v>207</v>
      </c>
      <c r="AM1357" s="14" t="s">
        <v>207</v>
      </c>
      <c r="AN1357" s="14" t="s">
        <v>207</v>
      </c>
      <c r="AO1357" s="14" t="s">
        <v>207</v>
      </c>
      <c r="AP1357" s="14" t="s">
        <v>207</v>
      </c>
      <c r="AQ1357" s="14" t="s">
        <v>207</v>
      </c>
      <c r="AR1357" s="14" t="s">
        <v>207</v>
      </c>
      <c r="AS1357" s="14" t="s">
        <v>207</v>
      </c>
      <c r="AT1357" s="14" t="s">
        <v>207</v>
      </c>
      <c r="AU1357" s="30" t="s">
        <v>1843</v>
      </c>
      <c r="AV1357" s="13" t="s">
        <v>207</v>
      </c>
      <c r="AW1357" s="74"/>
      <c r="AX1357" s="14" t="s">
        <v>13506</v>
      </c>
      <c r="AY1357" s="17" t="s">
        <v>101</v>
      </c>
    </row>
    <row r="1358" spans="1:51" ht="12.75" customHeight="1" x14ac:dyDescent="0.25">
      <c r="A1358" s="5">
        <v>1282</v>
      </c>
      <c r="B1358" s="9">
        <v>1282</v>
      </c>
      <c r="C1358" s="9" t="s">
        <v>15834</v>
      </c>
      <c r="D1358" s="57" t="str">
        <f>HYPERLINK("http://prodenv.dep.state.fl.us/DepNexus/public/electronic-documents/OG_1282/facility!search","OG_1282_Docs")</f>
        <v>OG_1282_Docs</v>
      </c>
      <c r="E1358" s="57" t="str">
        <f>HYPERLINK("https://ca.dep.state.fl.us/mapdirect/?focus=oilandgas&amp;zoom=query&amp;querytype=oilandgas&amp;queryvalues=OG_1282","OG_1282_Map")</f>
        <v>OG_1282_Map</v>
      </c>
      <c r="F1358" s="1" t="s">
        <v>1797</v>
      </c>
      <c r="G1358" s="1" t="s">
        <v>79</v>
      </c>
      <c r="H1358" s="1" t="s">
        <v>15835</v>
      </c>
      <c r="I1358" s="1" t="s">
        <v>15836</v>
      </c>
      <c r="J1358" s="17" t="s">
        <v>207</v>
      </c>
      <c r="K1358" s="17" t="s">
        <v>208</v>
      </c>
      <c r="L1358" s="14"/>
      <c r="M1358" s="17" t="s">
        <v>207</v>
      </c>
      <c r="N1358" s="52" t="s">
        <v>207</v>
      </c>
      <c r="O1358" s="17" t="s">
        <v>86</v>
      </c>
      <c r="P1358" s="17" t="s">
        <v>86</v>
      </c>
      <c r="Q1358" s="81" t="s">
        <v>15837</v>
      </c>
      <c r="R1358" s="11">
        <v>30.950887000000002</v>
      </c>
      <c r="S1358" s="11">
        <v>-87.107674000000003</v>
      </c>
      <c r="T1358" s="11" t="s">
        <v>15753</v>
      </c>
      <c r="U1358" s="11" t="s">
        <v>15754</v>
      </c>
      <c r="V1358" s="17" t="s">
        <v>15755</v>
      </c>
      <c r="W1358" s="17"/>
      <c r="X1358" s="70"/>
      <c r="Y1358" s="70"/>
      <c r="Z1358" s="13">
        <v>33878</v>
      </c>
      <c r="AA1358" s="13"/>
      <c r="AB1358" s="13"/>
      <c r="AC1358" s="13"/>
      <c r="AD1358" s="70"/>
      <c r="AE1358" s="70"/>
      <c r="AF1358" s="70" t="s">
        <v>207</v>
      </c>
      <c r="AG1358" s="14" t="s">
        <v>207</v>
      </c>
      <c r="AH1358" s="14" t="s">
        <v>207</v>
      </c>
      <c r="AI1358" s="70" t="s">
        <v>207</v>
      </c>
      <c r="AJ1358" s="14" t="s">
        <v>207</v>
      </c>
      <c r="AK1358" s="14" t="s">
        <v>207</v>
      </c>
      <c r="AL1358" s="14" t="s">
        <v>207</v>
      </c>
      <c r="AM1358" s="14" t="s">
        <v>207</v>
      </c>
      <c r="AN1358" s="14" t="s">
        <v>207</v>
      </c>
      <c r="AO1358" s="14" t="s">
        <v>207</v>
      </c>
      <c r="AP1358" s="14" t="s">
        <v>207</v>
      </c>
      <c r="AQ1358" s="14" t="s">
        <v>207</v>
      </c>
      <c r="AR1358" s="14" t="s">
        <v>207</v>
      </c>
      <c r="AS1358" s="14" t="s">
        <v>207</v>
      </c>
      <c r="AT1358" s="14" t="s">
        <v>207</v>
      </c>
      <c r="AU1358" s="30" t="s">
        <v>1843</v>
      </c>
      <c r="AV1358" s="13" t="s">
        <v>207</v>
      </c>
      <c r="AW1358" s="74"/>
      <c r="AX1358" s="1"/>
      <c r="AY1358" s="17" t="s">
        <v>101</v>
      </c>
    </row>
    <row r="1359" spans="1:51" ht="12.75" customHeight="1" x14ac:dyDescent="0.25">
      <c r="A1359" s="5">
        <v>1283</v>
      </c>
      <c r="B1359" s="9">
        <v>1283</v>
      </c>
      <c r="C1359" s="9" t="s">
        <v>15838</v>
      </c>
      <c r="D1359" s="57" t="str">
        <f>HYPERLINK("http://prodenv.dep.state.fl.us/DepNexus/public/electronic-documents/OG_1283/facility!search","OG_1283_Docs")</f>
        <v>OG_1283_Docs</v>
      </c>
      <c r="E1359" s="57" t="str">
        <f>HYPERLINK("https://ca.dep.state.fl.us/mapdirect/?focus=oilandgas&amp;zoom=query&amp;querytype=oilandgas&amp;queryvalues=OG_1283","OG_1283_Map")</f>
        <v>OG_1283_Map</v>
      </c>
      <c r="F1359" s="1" t="s">
        <v>1797</v>
      </c>
      <c r="G1359" s="1" t="s">
        <v>79</v>
      </c>
      <c r="H1359" s="1" t="s">
        <v>15839</v>
      </c>
      <c r="I1359" s="1" t="s">
        <v>15840</v>
      </c>
      <c r="J1359" s="17" t="s">
        <v>82</v>
      </c>
      <c r="K1359" s="17" t="s">
        <v>83</v>
      </c>
      <c r="L1359" s="17"/>
      <c r="M1359" s="17" t="s">
        <v>84</v>
      </c>
      <c r="N1359" s="52" t="s">
        <v>15841</v>
      </c>
      <c r="O1359" s="17" t="s">
        <v>86</v>
      </c>
      <c r="P1359" s="17" t="s">
        <v>86</v>
      </c>
      <c r="Q1359" s="81" t="s">
        <v>15842</v>
      </c>
      <c r="R1359" s="11">
        <v>30.685169999999999</v>
      </c>
      <c r="S1359" s="11">
        <v>-86.981318999999999</v>
      </c>
      <c r="T1359" s="11" t="s">
        <v>15843</v>
      </c>
      <c r="U1359" s="11" t="s">
        <v>15844</v>
      </c>
      <c r="V1359" s="17" t="s">
        <v>15845</v>
      </c>
      <c r="W1359" s="17" t="s">
        <v>110</v>
      </c>
      <c r="X1359" s="70">
        <v>65</v>
      </c>
      <c r="Y1359" s="70">
        <v>39</v>
      </c>
      <c r="Z1359" s="13">
        <v>33861</v>
      </c>
      <c r="AA1359" s="13">
        <v>33897</v>
      </c>
      <c r="AB1359" s="13">
        <v>33939</v>
      </c>
      <c r="AC1359" s="13">
        <v>33939</v>
      </c>
      <c r="AD1359" s="86">
        <v>16606</v>
      </c>
      <c r="AE1359" s="86">
        <v>16606</v>
      </c>
      <c r="AF1359" s="70" t="s">
        <v>94</v>
      </c>
      <c r="AG1359" s="17" t="s">
        <v>15846</v>
      </c>
      <c r="AH1359" s="17" t="s">
        <v>94</v>
      </c>
      <c r="AI1359" s="70" t="s">
        <v>94</v>
      </c>
      <c r="AJ1359" s="17" t="s">
        <v>94</v>
      </c>
      <c r="AK1359" s="17" t="s">
        <v>95</v>
      </c>
      <c r="AL1359" s="17" t="s">
        <v>15847</v>
      </c>
      <c r="AM1359" s="17" t="s">
        <v>95</v>
      </c>
      <c r="AN1359" s="17" t="s">
        <v>94</v>
      </c>
      <c r="AO1359" s="17" t="s">
        <v>98</v>
      </c>
      <c r="AP1359" s="17" t="s">
        <v>98</v>
      </c>
      <c r="AQ1359" s="17" t="s">
        <v>98</v>
      </c>
      <c r="AR1359" s="17" t="s">
        <v>94</v>
      </c>
      <c r="AS1359" s="17" t="s">
        <v>15848</v>
      </c>
      <c r="AT1359" s="17">
        <v>271</v>
      </c>
      <c r="AU1359" s="30" t="s">
        <v>15849</v>
      </c>
      <c r="AV1359" s="14">
        <v>16885</v>
      </c>
      <c r="AW1359" s="74"/>
      <c r="AX1359" s="1"/>
      <c r="AY1359" s="17" t="s">
        <v>101</v>
      </c>
    </row>
    <row r="1360" spans="1:51" ht="12.75" customHeight="1" x14ac:dyDescent="0.25">
      <c r="A1360" s="5">
        <v>1284</v>
      </c>
      <c r="B1360" s="9">
        <v>1284</v>
      </c>
      <c r="C1360" s="9" t="s">
        <v>15850</v>
      </c>
      <c r="D1360" s="57" t="str">
        <f>HYPERLINK("http://prodenv.dep.state.fl.us/DepNexus/public/electronic-documents/OG_1284/facility!search","OG_1284_Docs")</f>
        <v>OG_1284_Docs</v>
      </c>
      <c r="E1360" s="57" t="str">
        <f>HYPERLINK("https://ca.dep.state.fl.us/mapdirect/?focus=oilandgas&amp;zoom=query&amp;querytype=oilandgas&amp;queryvalues=OG_1284","OG_1284_Map")</f>
        <v>OG_1284_Map</v>
      </c>
      <c r="F1360" s="1" t="s">
        <v>1682</v>
      </c>
      <c r="G1360" s="1" t="s">
        <v>79</v>
      </c>
      <c r="H1360" s="1" t="s">
        <v>15851</v>
      </c>
      <c r="I1360" s="1" t="s">
        <v>15852</v>
      </c>
      <c r="J1360" s="17" t="s">
        <v>82</v>
      </c>
      <c r="K1360" s="17" t="s">
        <v>83</v>
      </c>
      <c r="L1360" s="17"/>
      <c r="M1360" s="17" t="s">
        <v>84</v>
      </c>
      <c r="N1360" s="52" t="s">
        <v>15853</v>
      </c>
      <c r="O1360" s="17" t="s">
        <v>86</v>
      </c>
      <c r="P1360" s="17" t="s">
        <v>86</v>
      </c>
      <c r="Q1360" s="81" t="s">
        <v>15854</v>
      </c>
      <c r="R1360" s="11">
        <v>30.634081999999999</v>
      </c>
      <c r="S1360" s="11">
        <v>-87.324304999999995</v>
      </c>
      <c r="T1360" s="11" t="s">
        <v>15855</v>
      </c>
      <c r="U1360" s="11" t="s">
        <v>15856</v>
      </c>
      <c r="V1360" s="17" t="s">
        <v>15857</v>
      </c>
      <c r="W1360" s="17" t="s">
        <v>110</v>
      </c>
      <c r="X1360" s="70">
        <v>125</v>
      </c>
      <c r="Y1360" s="70">
        <v>115</v>
      </c>
      <c r="Z1360" s="13">
        <v>33890</v>
      </c>
      <c r="AA1360" s="13">
        <v>33995</v>
      </c>
      <c r="AB1360" s="13">
        <v>34001</v>
      </c>
      <c r="AC1360" s="13">
        <v>34024</v>
      </c>
      <c r="AD1360" s="86">
        <v>3500</v>
      </c>
      <c r="AE1360" s="86">
        <v>3500</v>
      </c>
      <c r="AF1360" s="70" t="s">
        <v>15858</v>
      </c>
      <c r="AG1360" s="17" t="s">
        <v>15859</v>
      </c>
      <c r="AH1360" s="17" t="s">
        <v>94</v>
      </c>
      <c r="AI1360" s="70" t="s">
        <v>94</v>
      </c>
      <c r="AJ1360" s="17" t="s">
        <v>94</v>
      </c>
      <c r="AK1360" s="17" t="s">
        <v>95</v>
      </c>
      <c r="AL1360" s="17" t="s">
        <v>15847</v>
      </c>
      <c r="AM1360" s="17" t="s">
        <v>825</v>
      </c>
      <c r="AN1360" s="17" t="s">
        <v>86</v>
      </c>
      <c r="AO1360" s="17" t="s">
        <v>98</v>
      </c>
      <c r="AP1360" s="17" t="s">
        <v>98</v>
      </c>
      <c r="AQ1360" s="17" t="s">
        <v>98</v>
      </c>
      <c r="AR1360" s="17" t="s">
        <v>94</v>
      </c>
      <c r="AS1360" s="17" t="s">
        <v>15860</v>
      </c>
      <c r="AT1360" s="17">
        <v>103</v>
      </c>
      <c r="AU1360" s="30" t="s">
        <v>15861</v>
      </c>
      <c r="AV1360" s="14">
        <v>16896</v>
      </c>
      <c r="AW1360" s="74"/>
      <c r="AX1360" s="1"/>
      <c r="AY1360" s="17" t="s">
        <v>101</v>
      </c>
    </row>
    <row r="1361" spans="1:51" ht="12.75" customHeight="1" x14ac:dyDescent="0.25">
      <c r="A1361" s="5">
        <v>1285</v>
      </c>
      <c r="B1361" s="9">
        <v>1285</v>
      </c>
      <c r="C1361" s="9" t="s">
        <v>15862</v>
      </c>
      <c r="D1361" s="57" t="str">
        <f>HYPERLINK("http://prodenv.dep.state.fl.us/DepNexus/public/electronic-documents/OG_1285/facility!search","OG_1285_Docs")</f>
        <v>OG_1285_Docs</v>
      </c>
      <c r="E1361" s="57" t="str">
        <f>HYPERLINK("https://ca.dep.state.fl.us/mapdirect/?focus=oilandgas&amp;zoom=query&amp;querytype=oilandgas&amp;queryvalues=OG_1285","OG_1285_Map")</f>
        <v>OG_1285_Map</v>
      </c>
      <c r="F1361" s="1" t="s">
        <v>1797</v>
      </c>
      <c r="G1361" s="1" t="s">
        <v>79</v>
      </c>
      <c r="H1361" s="1" t="s">
        <v>15863</v>
      </c>
      <c r="I1361" s="1" t="s">
        <v>15864</v>
      </c>
      <c r="J1361" s="17" t="s">
        <v>82</v>
      </c>
      <c r="K1361" s="17" t="s">
        <v>83</v>
      </c>
      <c r="L1361" s="17"/>
      <c r="M1361" s="17"/>
      <c r="N1361" s="52" t="s">
        <v>15865</v>
      </c>
      <c r="O1361" s="17" t="s">
        <v>86</v>
      </c>
      <c r="P1361" s="17" t="s">
        <v>86</v>
      </c>
      <c r="Q1361" s="81" t="s">
        <v>15866</v>
      </c>
      <c r="R1361" s="11">
        <v>30.757771999999999</v>
      </c>
      <c r="S1361" s="11">
        <v>-87.012495000000001</v>
      </c>
      <c r="T1361" s="11" t="s">
        <v>15867</v>
      </c>
      <c r="U1361" s="11" t="s">
        <v>15868</v>
      </c>
      <c r="V1361" s="17" t="s">
        <v>15869</v>
      </c>
      <c r="W1361" s="17" t="s">
        <v>110</v>
      </c>
      <c r="X1361" s="70">
        <v>185</v>
      </c>
      <c r="Y1361" s="70">
        <v>160</v>
      </c>
      <c r="Z1361" s="13">
        <v>34206</v>
      </c>
      <c r="AA1361" s="13">
        <v>34244</v>
      </c>
      <c r="AB1361" s="13">
        <v>34283</v>
      </c>
      <c r="AC1361" s="13">
        <v>34283</v>
      </c>
      <c r="AD1361" s="86">
        <v>16600</v>
      </c>
      <c r="AE1361" s="86">
        <v>16600</v>
      </c>
      <c r="AF1361" s="70" t="s">
        <v>14205</v>
      </c>
      <c r="AG1361" s="17" t="s">
        <v>15870</v>
      </c>
      <c r="AH1361" s="17" t="s">
        <v>94</v>
      </c>
      <c r="AI1361" s="70" t="s">
        <v>94</v>
      </c>
      <c r="AJ1361" s="17" t="s">
        <v>94</v>
      </c>
      <c r="AK1361" s="17" t="s">
        <v>95</v>
      </c>
      <c r="AL1361" s="17" t="s">
        <v>95</v>
      </c>
      <c r="AM1361" s="17" t="s">
        <v>95</v>
      </c>
      <c r="AN1361" s="17" t="s">
        <v>94</v>
      </c>
      <c r="AO1361" s="17" t="s">
        <v>98</v>
      </c>
      <c r="AP1361" s="17" t="s">
        <v>98</v>
      </c>
      <c r="AQ1361" s="17" t="s">
        <v>98</v>
      </c>
      <c r="AR1361" s="17" t="s">
        <v>94</v>
      </c>
      <c r="AS1361" s="17" t="s">
        <v>15871</v>
      </c>
      <c r="AT1361" s="17"/>
      <c r="AU1361" s="30" t="s">
        <v>15872</v>
      </c>
      <c r="AV1361" s="14">
        <v>17895</v>
      </c>
      <c r="AW1361" s="74"/>
      <c r="AX1361" s="1"/>
      <c r="AY1361" s="17" t="s">
        <v>101</v>
      </c>
    </row>
    <row r="1362" spans="1:51" ht="12.75" customHeight="1" x14ac:dyDescent="0.25">
      <c r="A1362" s="5">
        <v>1286</v>
      </c>
      <c r="B1362" s="9">
        <v>1286</v>
      </c>
      <c r="C1362" s="9" t="s">
        <v>15873</v>
      </c>
      <c r="D1362" s="57" t="str">
        <f>HYPERLINK("http://prodenv.dep.state.fl.us/DepNexus/public/electronic-documents/OG_1286/facility!search","OG_1286_Docs")</f>
        <v>OG_1286_Docs</v>
      </c>
      <c r="E1362" s="57" t="str">
        <f>HYPERLINK("https://ca.dep.state.fl.us/mapdirect/?focus=oilandgas&amp;zoom=query&amp;querytype=oilandgas&amp;queryvalues=OG_1286","OG_1286_Map")</f>
        <v>OG_1286_Map</v>
      </c>
      <c r="F1362" s="1" t="s">
        <v>1797</v>
      </c>
      <c r="G1362" s="1" t="s">
        <v>1798</v>
      </c>
      <c r="H1362" s="1" t="s">
        <v>15874</v>
      </c>
      <c r="I1362" s="1" t="s">
        <v>15875</v>
      </c>
      <c r="J1362" s="17" t="s">
        <v>82</v>
      </c>
      <c r="K1362" s="17" t="s">
        <v>83</v>
      </c>
      <c r="L1362" s="17"/>
      <c r="M1362" s="17"/>
      <c r="N1362" s="52" t="s">
        <v>15876</v>
      </c>
      <c r="O1362" s="17" t="s">
        <v>86</v>
      </c>
      <c r="P1362" s="17" t="s">
        <v>86</v>
      </c>
      <c r="Q1362" s="81" t="s">
        <v>15877</v>
      </c>
      <c r="R1362" s="11">
        <v>30.971250999999999</v>
      </c>
      <c r="S1362" s="11">
        <v>-87.118679999999998</v>
      </c>
      <c r="T1362" s="11" t="s">
        <v>15878</v>
      </c>
      <c r="U1362" s="11" t="s">
        <v>15879</v>
      </c>
      <c r="V1362" s="17" t="s">
        <v>15880</v>
      </c>
      <c r="W1362" s="17" t="s">
        <v>15881</v>
      </c>
      <c r="X1362" s="70">
        <v>273</v>
      </c>
      <c r="Y1362" s="70">
        <v>252</v>
      </c>
      <c r="Z1362" s="13">
        <v>34313</v>
      </c>
      <c r="AA1362" s="13">
        <v>34672</v>
      </c>
      <c r="AB1362" s="13">
        <v>34727</v>
      </c>
      <c r="AC1362" s="13">
        <v>34728</v>
      </c>
      <c r="AD1362" s="86">
        <v>15350</v>
      </c>
      <c r="AE1362" s="86">
        <v>15370</v>
      </c>
      <c r="AF1362" s="70" t="s">
        <v>15882</v>
      </c>
      <c r="AG1362" s="17" t="s">
        <v>15883</v>
      </c>
      <c r="AH1362" s="17"/>
      <c r="AI1362" s="70"/>
      <c r="AJ1362" s="17"/>
      <c r="AK1362" s="17"/>
      <c r="AL1362" s="17"/>
      <c r="AM1362" s="17" t="s">
        <v>95</v>
      </c>
      <c r="AN1362" s="17"/>
      <c r="AO1362" s="17"/>
      <c r="AP1362" s="17"/>
      <c r="AQ1362" s="17"/>
      <c r="AR1362" s="17"/>
      <c r="AS1362" s="17" t="s">
        <v>15884</v>
      </c>
      <c r="AT1362" s="17"/>
      <c r="AU1362" s="30" t="s">
        <v>15885</v>
      </c>
      <c r="AV1362" s="14">
        <v>17594</v>
      </c>
      <c r="AW1362" s="74"/>
      <c r="AX1362" s="1"/>
      <c r="AY1362" s="17" t="s">
        <v>101</v>
      </c>
    </row>
    <row r="1363" spans="1:51" ht="12.75" customHeight="1" x14ac:dyDescent="0.25">
      <c r="A1363" s="5">
        <v>1286</v>
      </c>
      <c r="B1363" s="9" t="s">
        <v>15886</v>
      </c>
      <c r="C1363" s="9" t="s">
        <v>15873</v>
      </c>
      <c r="D1363" s="57" t="str">
        <f>HYPERLINK("http://prodenv.dep.state.fl.us/DepNexus/public/electronic-documents/OG_1286/facility!search","OG_1286_Docs")</f>
        <v>OG_1286_Docs</v>
      </c>
      <c r="E1363" s="57" t="str">
        <f>HYPERLINK("https://ca.dep.state.fl.us/mapdirect/?focus=oilandgas&amp;zoom=query&amp;querytype=oilandgas&amp;queryvalues=OG_1286","OG_1286_Map")</f>
        <v>OG_1286_Map</v>
      </c>
      <c r="F1363" s="1" t="s">
        <v>1797</v>
      </c>
      <c r="G1363" s="1" t="s">
        <v>1798</v>
      </c>
      <c r="H1363" s="1" t="s">
        <v>15874</v>
      </c>
      <c r="I1363" s="1" t="s">
        <v>15887</v>
      </c>
      <c r="J1363" s="17" t="s">
        <v>82</v>
      </c>
      <c r="K1363" s="17" t="s">
        <v>83</v>
      </c>
      <c r="L1363" s="17"/>
      <c r="M1363" s="17"/>
      <c r="N1363" s="52" t="s">
        <v>15888</v>
      </c>
      <c r="O1363" s="17" t="s">
        <v>86</v>
      </c>
      <c r="P1363" s="17" t="s">
        <v>86</v>
      </c>
      <c r="Q1363" s="81" t="s">
        <v>15877</v>
      </c>
      <c r="R1363" s="11">
        <v>30.971250999999999</v>
      </c>
      <c r="S1363" s="11">
        <v>-87.118679999999998</v>
      </c>
      <c r="T1363" s="11" t="s">
        <v>15878</v>
      </c>
      <c r="U1363" s="11" t="s">
        <v>15879</v>
      </c>
      <c r="V1363" s="17" t="s">
        <v>15880</v>
      </c>
      <c r="W1363" s="17" t="s">
        <v>15889</v>
      </c>
      <c r="X1363" s="70">
        <v>273</v>
      </c>
      <c r="Y1363" s="70">
        <v>251.9</v>
      </c>
      <c r="Z1363" s="13">
        <v>34313</v>
      </c>
      <c r="AA1363" s="13">
        <v>34727</v>
      </c>
      <c r="AB1363" s="13">
        <v>35248</v>
      </c>
      <c r="AC1363" s="13">
        <v>35254</v>
      </c>
      <c r="AD1363" s="70"/>
      <c r="AE1363" s="86">
        <v>15511</v>
      </c>
      <c r="AF1363" s="70" t="s">
        <v>15882</v>
      </c>
      <c r="AG1363" s="17" t="s">
        <v>15883</v>
      </c>
      <c r="AH1363" s="17"/>
      <c r="AI1363" s="70"/>
      <c r="AJ1363" s="17"/>
      <c r="AK1363" s="17"/>
      <c r="AL1363" s="17"/>
      <c r="AM1363" s="17"/>
      <c r="AN1363" s="17"/>
      <c r="AO1363" s="17"/>
      <c r="AP1363" s="17"/>
      <c r="AQ1363" s="17"/>
      <c r="AR1363" s="17"/>
      <c r="AS1363" s="17" t="s">
        <v>15890</v>
      </c>
      <c r="AT1363" s="17"/>
      <c r="AU1363" s="30" t="s">
        <v>15891</v>
      </c>
      <c r="AV1363" s="14">
        <v>17594</v>
      </c>
      <c r="AW1363" s="74"/>
      <c r="AX1363" s="1"/>
      <c r="AY1363" s="17" t="s">
        <v>101</v>
      </c>
    </row>
    <row r="1364" spans="1:51" ht="12.75" customHeight="1" x14ac:dyDescent="0.25">
      <c r="A1364" s="5">
        <v>1287</v>
      </c>
      <c r="B1364" s="9">
        <v>1287</v>
      </c>
      <c r="C1364" s="9" t="s">
        <v>15892</v>
      </c>
      <c r="D1364" s="57" t="str">
        <f>HYPERLINK("http://prodenv.dep.state.fl.us/DepNexus/public/electronic-documents/OG_1287/facility!search","OG_1287_Docs")</f>
        <v>OG_1287_Docs</v>
      </c>
      <c r="E1364" s="57" t="str">
        <f>HYPERLINK("https://ca.dep.state.fl.us/mapdirect/?focus=oilandgas&amp;zoom=query&amp;querytype=oilandgas&amp;queryvalues=OG_1287","OG_1287_Map")</f>
        <v>OG_1287_Map</v>
      </c>
      <c r="F1364" s="1" t="s">
        <v>265</v>
      </c>
      <c r="G1364" s="1" t="s">
        <v>10452</v>
      </c>
      <c r="H1364" s="1" t="s">
        <v>15893</v>
      </c>
      <c r="I1364" s="1" t="s">
        <v>15894</v>
      </c>
      <c r="J1364" s="17" t="s">
        <v>207</v>
      </c>
      <c r="K1364" s="17" t="s">
        <v>208</v>
      </c>
      <c r="L1364" s="17"/>
      <c r="M1364" s="17" t="s">
        <v>207</v>
      </c>
      <c r="N1364" s="52" t="s">
        <v>207</v>
      </c>
      <c r="O1364" s="17" t="s">
        <v>270</v>
      </c>
      <c r="P1364" s="17" t="s">
        <v>3395</v>
      </c>
      <c r="Q1364" s="81" t="s">
        <v>14530</v>
      </c>
      <c r="R1364" s="11">
        <v>26.001750999999999</v>
      </c>
      <c r="S1364" s="11">
        <v>-80.911067000000003</v>
      </c>
      <c r="T1364" s="11" t="s">
        <v>15895</v>
      </c>
      <c r="U1364" s="11" t="s">
        <v>15896</v>
      </c>
      <c r="V1364" s="17" t="s">
        <v>233</v>
      </c>
      <c r="W1364" s="17" t="s">
        <v>15897</v>
      </c>
      <c r="X1364" s="70"/>
      <c r="Y1364" s="70"/>
      <c r="Z1364" s="13">
        <v>34794</v>
      </c>
      <c r="AA1364" s="13"/>
      <c r="AB1364" s="13"/>
      <c r="AC1364" s="13"/>
      <c r="AD1364" s="70"/>
      <c r="AE1364" s="70"/>
      <c r="AF1364" s="70" t="s">
        <v>207</v>
      </c>
      <c r="AG1364" s="14" t="s">
        <v>207</v>
      </c>
      <c r="AH1364" s="14" t="s">
        <v>207</v>
      </c>
      <c r="AI1364" s="70" t="s">
        <v>207</v>
      </c>
      <c r="AJ1364" s="14" t="s">
        <v>207</v>
      </c>
      <c r="AK1364" s="14" t="s">
        <v>207</v>
      </c>
      <c r="AL1364" s="14" t="s">
        <v>207</v>
      </c>
      <c r="AM1364" s="14" t="s">
        <v>207</v>
      </c>
      <c r="AN1364" s="14" t="s">
        <v>207</v>
      </c>
      <c r="AO1364" s="14" t="s">
        <v>207</v>
      </c>
      <c r="AP1364" s="14" t="s">
        <v>207</v>
      </c>
      <c r="AQ1364" s="14" t="s">
        <v>207</v>
      </c>
      <c r="AR1364" s="14" t="s">
        <v>207</v>
      </c>
      <c r="AS1364" s="14" t="s">
        <v>207</v>
      </c>
      <c r="AT1364" s="14" t="s">
        <v>207</v>
      </c>
      <c r="AU1364" s="30" t="s">
        <v>1843</v>
      </c>
      <c r="AV1364" s="13" t="s">
        <v>207</v>
      </c>
      <c r="AW1364" s="74"/>
      <c r="AX1364" s="1"/>
      <c r="AY1364" s="17" t="s">
        <v>101</v>
      </c>
    </row>
    <row r="1365" spans="1:51" ht="12.75" customHeight="1" x14ac:dyDescent="0.25">
      <c r="A1365" s="5">
        <v>1288</v>
      </c>
      <c r="B1365" s="9">
        <v>1288</v>
      </c>
      <c r="C1365" s="9" t="s">
        <v>15898</v>
      </c>
      <c r="D1365" s="57" t="str">
        <f>HYPERLINK("http://prodenv.dep.state.fl.us/DepNexus/public/electronic-documents/OG_1288/facility!search","OG_1288_Docs")</f>
        <v>OG_1288_Docs</v>
      </c>
      <c r="E1365" s="57" t="str">
        <f>HYPERLINK("https://ca.dep.state.fl.us/mapdirect/?focus=oilandgas&amp;zoom=query&amp;querytype=oilandgas&amp;queryvalues=OG_1288","OG_1288_Map")</f>
        <v>OG_1288_Map</v>
      </c>
      <c r="F1365" s="1" t="s">
        <v>265</v>
      </c>
      <c r="G1365" s="1" t="s">
        <v>10452</v>
      </c>
      <c r="H1365" s="1" t="s">
        <v>15893</v>
      </c>
      <c r="I1365" s="1" t="s">
        <v>15899</v>
      </c>
      <c r="J1365" s="17" t="s">
        <v>207</v>
      </c>
      <c r="K1365" s="17" t="s">
        <v>208</v>
      </c>
      <c r="L1365" s="17"/>
      <c r="M1365" s="17" t="s">
        <v>207</v>
      </c>
      <c r="N1365" s="52" t="s">
        <v>207</v>
      </c>
      <c r="O1365" s="17" t="s">
        <v>270</v>
      </c>
      <c r="P1365" s="17" t="s">
        <v>3395</v>
      </c>
      <c r="Q1365" s="81" t="s">
        <v>15900</v>
      </c>
      <c r="R1365" s="11">
        <v>26.001553999999999</v>
      </c>
      <c r="S1365" s="11">
        <v>-80.911355</v>
      </c>
      <c r="T1365" s="11" t="s">
        <v>15901</v>
      </c>
      <c r="U1365" s="11" t="s">
        <v>15902</v>
      </c>
      <c r="V1365" s="17" t="s">
        <v>233</v>
      </c>
      <c r="W1365" s="17" t="s">
        <v>15903</v>
      </c>
      <c r="X1365" s="70"/>
      <c r="Y1365" s="70"/>
      <c r="Z1365" s="13">
        <v>34794</v>
      </c>
      <c r="AA1365" s="13"/>
      <c r="AB1365" s="13"/>
      <c r="AC1365" s="13"/>
      <c r="AD1365" s="70"/>
      <c r="AE1365" s="70"/>
      <c r="AF1365" s="70" t="s">
        <v>207</v>
      </c>
      <c r="AG1365" s="14" t="s">
        <v>207</v>
      </c>
      <c r="AH1365" s="14" t="s">
        <v>207</v>
      </c>
      <c r="AI1365" s="70" t="s">
        <v>207</v>
      </c>
      <c r="AJ1365" s="14" t="s">
        <v>207</v>
      </c>
      <c r="AK1365" s="14" t="s">
        <v>207</v>
      </c>
      <c r="AL1365" s="14" t="s">
        <v>207</v>
      </c>
      <c r="AM1365" s="14" t="s">
        <v>207</v>
      </c>
      <c r="AN1365" s="14" t="s">
        <v>207</v>
      </c>
      <c r="AO1365" s="14" t="s">
        <v>207</v>
      </c>
      <c r="AP1365" s="14" t="s">
        <v>207</v>
      </c>
      <c r="AQ1365" s="14" t="s">
        <v>207</v>
      </c>
      <c r="AR1365" s="14" t="s">
        <v>207</v>
      </c>
      <c r="AS1365" s="14" t="s">
        <v>207</v>
      </c>
      <c r="AT1365" s="14" t="s">
        <v>207</v>
      </c>
      <c r="AU1365" s="30" t="s">
        <v>1843</v>
      </c>
      <c r="AV1365" s="13" t="s">
        <v>207</v>
      </c>
      <c r="AW1365" s="74"/>
      <c r="AX1365" s="1"/>
      <c r="AY1365" s="17" t="s">
        <v>101</v>
      </c>
    </row>
    <row r="1366" spans="1:51" ht="13.5" customHeight="1" x14ac:dyDescent="0.25">
      <c r="A1366" s="5">
        <v>1289</v>
      </c>
      <c r="B1366" s="9">
        <v>1289</v>
      </c>
      <c r="C1366" s="9" t="s">
        <v>15904</v>
      </c>
      <c r="D1366" s="57" t="str">
        <f>HYPERLINK("http://prodenv.dep.state.fl.us/DepNexus/public/electronic-documents/OG_1289/facility!search","OG_1289_Docs")</f>
        <v>OG_1289_Docs</v>
      </c>
      <c r="E1366" s="57" t="str">
        <f>HYPERLINK("https://ca.dep.state.fl.us/mapdirect/?focus=oilandgas&amp;zoom=query&amp;querytype=oilandgas&amp;queryvalues=OG_1289","OG_1289_Map")</f>
        <v>OG_1289_Map</v>
      </c>
      <c r="F1366" s="1" t="s">
        <v>265</v>
      </c>
      <c r="G1366" s="1" t="s">
        <v>10452</v>
      </c>
      <c r="H1366" s="1" t="s">
        <v>12827</v>
      </c>
      <c r="I1366" s="1" t="s">
        <v>15905</v>
      </c>
      <c r="J1366" s="17" t="s">
        <v>268</v>
      </c>
      <c r="K1366" s="17" t="s">
        <v>15906</v>
      </c>
      <c r="L1366" s="17"/>
      <c r="M1366" s="17" t="s">
        <v>101</v>
      </c>
      <c r="N1366" s="52" t="s">
        <v>15907</v>
      </c>
      <c r="O1366" s="17" t="s">
        <v>270</v>
      </c>
      <c r="P1366" s="17" t="s">
        <v>3395</v>
      </c>
      <c r="Q1366" s="81" t="s">
        <v>14408</v>
      </c>
      <c r="R1366" s="11">
        <v>25.999917</v>
      </c>
      <c r="S1366" s="11">
        <v>-80.924417000000005</v>
      </c>
      <c r="T1366" s="11" t="s">
        <v>15908</v>
      </c>
      <c r="U1366" s="11" t="s">
        <v>15909</v>
      </c>
      <c r="V1366" s="17" t="s">
        <v>15910</v>
      </c>
      <c r="W1366" s="17" t="s">
        <v>15911</v>
      </c>
      <c r="X1366" s="70">
        <v>33</v>
      </c>
      <c r="Y1366" s="70">
        <v>13</v>
      </c>
      <c r="Z1366" s="13">
        <v>34794</v>
      </c>
      <c r="AA1366" s="13">
        <v>34934</v>
      </c>
      <c r="AB1366" s="13">
        <v>35107</v>
      </c>
      <c r="AC1366" s="13"/>
      <c r="AD1366" s="86">
        <v>11330</v>
      </c>
      <c r="AE1366" s="86">
        <v>13631</v>
      </c>
      <c r="AF1366" s="70" t="s">
        <v>15912</v>
      </c>
      <c r="AG1366" s="17" t="s">
        <v>15913</v>
      </c>
      <c r="AH1366" s="17" t="s">
        <v>15914</v>
      </c>
      <c r="AI1366" s="71" t="s">
        <v>15915</v>
      </c>
      <c r="AJ1366" s="17" t="s">
        <v>94</v>
      </c>
      <c r="AK1366" s="17"/>
      <c r="AL1366" s="17"/>
      <c r="AM1366" s="17"/>
      <c r="AN1366" s="17" t="s">
        <v>94</v>
      </c>
      <c r="AO1366" s="17" t="s">
        <v>94</v>
      </c>
      <c r="AP1366" s="17" t="s">
        <v>94</v>
      </c>
      <c r="AQ1366" s="17" t="s">
        <v>94</v>
      </c>
      <c r="AR1366" s="17" t="s">
        <v>94</v>
      </c>
      <c r="AS1366" s="17"/>
      <c r="AT1366" s="17"/>
      <c r="AU1366" s="30" t="s">
        <v>15916</v>
      </c>
      <c r="AV1366" s="14">
        <v>17385</v>
      </c>
      <c r="AW1366" s="74"/>
      <c r="AX1366" s="1" t="s">
        <v>15917</v>
      </c>
      <c r="AY1366" s="17" t="s">
        <v>101</v>
      </c>
    </row>
    <row r="1367" spans="1:51" ht="12.75" customHeight="1" x14ac:dyDescent="0.25">
      <c r="A1367" s="5">
        <v>1289.0999999999999</v>
      </c>
      <c r="B1367" s="9" t="s">
        <v>15918</v>
      </c>
      <c r="C1367" s="9" t="s">
        <v>15904</v>
      </c>
      <c r="D1367" s="57" t="str">
        <f>HYPERLINK("http://prodenv.dep.state.fl.us/DepNexus/public/electronic-documents/OG_1289/facility!search","OG_1289_Docs")</f>
        <v>OG_1289_Docs</v>
      </c>
      <c r="E1367" s="57" t="str">
        <f>HYPERLINK("https://ca.dep.state.fl.us/mapdirect/?focus=oilandgas&amp;zoom=query&amp;querytype=oilandgas&amp;queryvalues=OG_1289","OG_1289_Map")</f>
        <v>OG_1289_Map</v>
      </c>
      <c r="F1367" s="1" t="s">
        <v>265</v>
      </c>
      <c r="G1367" s="1" t="s">
        <v>10452</v>
      </c>
      <c r="H1367" s="1" t="s">
        <v>15893</v>
      </c>
      <c r="I1367" s="1" t="s">
        <v>15919</v>
      </c>
      <c r="J1367" s="17" t="s">
        <v>268</v>
      </c>
      <c r="K1367" s="17" t="s">
        <v>412</v>
      </c>
      <c r="L1367" s="17"/>
      <c r="M1367" s="17" t="s">
        <v>101</v>
      </c>
      <c r="N1367" s="52" t="s">
        <v>15401</v>
      </c>
      <c r="O1367" s="17" t="s">
        <v>270</v>
      </c>
      <c r="P1367" s="17" t="s">
        <v>3395</v>
      </c>
      <c r="Q1367" s="81" t="s">
        <v>14408</v>
      </c>
      <c r="R1367" s="11">
        <v>25.999917</v>
      </c>
      <c r="S1367" s="11">
        <v>-80.924417000000005</v>
      </c>
      <c r="T1367" s="11" t="s">
        <v>15908</v>
      </c>
      <c r="U1367" s="11" t="s">
        <v>15909</v>
      </c>
      <c r="V1367" s="17" t="s">
        <v>15910</v>
      </c>
      <c r="W1367" s="17" t="s">
        <v>15920</v>
      </c>
      <c r="X1367" s="70">
        <v>32.5</v>
      </c>
      <c r="Y1367" s="70">
        <v>13</v>
      </c>
      <c r="Z1367" s="13">
        <v>34794</v>
      </c>
      <c r="AA1367" s="13">
        <v>35107</v>
      </c>
      <c r="AB1367" s="13">
        <v>35129</v>
      </c>
      <c r="AC1367" s="13">
        <v>36208</v>
      </c>
      <c r="AD1367" s="86">
        <v>11372</v>
      </c>
      <c r="AE1367" s="86">
        <v>13571</v>
      </c>
      <c r="AF1367" s="70" t="s">
        <v>15912</v>
      </c>
      <c r="AG1367" s="17" t="s">
        <v>15913</v>
      </c>
      <c r="AH1367" s="17" t="s">
        <v>15914</v>
      </c>
      <c r="AI1367" s="71" t="s">
        <v>15915</v>
      </c>
      <c r="AJ1367" s="17" t="s">
        <v>15921</v>
      </c>
      <c r="AK1367" s="17" t="s">
        <v>95</v>
      </c>
      <c r="AL1367" s="17" t="s">
        <v>15922</v>
      </c>
      <c r="AM1367" s="17" t="s">
        <v>95</v>
      </c>
      <c r="AN1367" s="17" t="s">
        <v>86</v>
      </c>
      <c r="AO1367" s="17" t="s">
        <v>15923</v>
      </c>
      <c r="AP1367" s="17" t="s">
        <v>15924</v>
      </c>
      <c r="AQ1367" s="17" t="s">
        <v>15925</v>
      </c>
      <c r="AR1367" s="17" t="s">
        <v>15926</v>
      </c>
      <c r="AS1367" s="17" t="s">
        <v>15927</v>
      </c>
      <c r="AT1367" s="17">
        <v>190</v>
      </c>
      <c r="AU1367" s="30" t="s">
        <v>15928</v>
      </c>
      <c r="AV1367" s="14">
        <v>17385</v>
      </c>
      <c r="AW1367" s="74"/>
      <c r="AX1367" s="1" t="s">
        <v>15929</v>
      </c>
      <c r="AY1367" s="17" t="s">
        <v>101</v>
      </c>
    </row>
    <row r="1368" spans="1:51" ht="15" customHeight="1" x14ac:dyDescent="0.25">
      <c r="A1368" s="5">
        <v>1289.2</v>
      </c>
      <c r="B1368" s="9" t="s">
        <v>15930</v>
      </c>
      <c r="C1368" s="9" t="s">
        <v>15904</v>
      </c>
      <c r="D1368" s="57" t="str">
        <f>HYPERLINK("http://prodenv.dep.state.fl.us/DepNexus/public/electronic-documents/OG_1289/facility!search","OG_1289_Docs")</f>
        <v>OG_1289_Docs</v>
      </c>
      <c r="E1368" s="57" t="str">
        <f>HYPERLINK("https://ca.dep.state.fl.us/mapdirect/?focus=oilandgas&amp;zoom=query&amp;querytype=oilandgas&amp;queryvalues=OG_1289","OG_1289_Map")</f>
        <v>OG_1289_Map</v>
      </c>
      <c r="F1368" s="1" t="s">
        <v>265</v>
      </c>
      <c r="G1368" s="1" t="s">
        <v>10452</v>
      </c>
      <c r="H1368" s="1" t="s">
        <v>15893</v>
      </c>
      <c r="I1368" s="1" t="s">
        <v>15931</v>
      </c>
      <c r="J1368" s="17" t="s">
        <v>4294</v>
      </c>
      <c r="K1368" s="17" t="s">
        <v>4294</v>
      </c>
      <c r="L1368" s="17"/>
      <c r="M1368" s="17" t="s">
        <v>101</v>
      </c>
      <c r="N1368" s="52" t="s">
        <v>15932</v>
      </c>
      <c r="O1368" s="17" t="s">
        <v>270</v>
      </c>
      <c r="P1368" s="17" t="s">
        <v>3395</v>
      </c>
      <c r="Q1368" s="81" t="s">
        <v>14408</v>
      </c>
      <c r="R1368" s="11">
        <v>25.999917</v>
      </c>
      <c r="S1368" s="11">
        <v>-80.924417000000005</v>
      </c>
      <c r="T1368" s="11" t="s">
        <v>15908</v>
      </c>
      <c r="U1368" s="11" t="s">
        <v>15909</v>
      </c>
      <c r="V1368" s="17" t="s">
        <v>15910</v>
      </c>
      <c r="W1368" s="17" t="s">
        <v>15933</v>
      </c>
      <c r="X1368" s="70">
        <v>32</v>
      </c>
      <c r="Y1368" s="70">
        <v>13</v>
      </c>
      <c r="Z1368" s="13">
        <v>36208</v>
      </c>
      <c r="AA1368" s="13">
        <v>36320</v>
      </c>
      <c r="AB1368" s="13"/>
      <c r="AC1368" s="13">
        <v>36329</v>
      </c>
      <c r="AD1368" s="86">
        <v>11357</v>
      </c>
      <c r="AE1368" s="86">
        <v>13608</v>
      </c>
      <c r="AF1368" s="70" t="s">
        <v>15912</v>
      </c>
      <c r="AG1368" s="17" t="s">
        <v>15913</v>
      </c>
      <c r="AH1368" s="17" t="s">
        <v>15914</v>
      </c>
      <c r="AI1368" s="71" t="s">
        <v>15915</v>
      </c>
      <c r="AJ1368" s="17" t="s">
        <v>94</v>
      </c>
      <c r="AK1368" s="17" t="s">
        <v>94</v>
      </c>
      <c r="AL1368" s="17" t="s">
        <v>94</v>
      </c>
      <c r="AM1368" s="17" t="s">
        <v>94</v>
      </c>
      <c r="AN1368" s="17" t="s">
        <v>94</v>
      </c>
      <c r="AO1368" s="17" t="s">
        <v>94</v>
      </c>
      <c r="AP1368" s="17" t="s">
        <v>94</v>
      </c>
      <c r="AQ1368" s="17" t="s">
        <v>94</v>
      </c>
      <c r="AR1368" s="17" t="s">
        <v>94</v>
      </c>
      <c r="AS1368" s="17"/>
      <c r="AT1368" s="17">
        <v>173</v>
      </c>
      <c r="AU1368" s="30" t="s">
        <v>15934</v>
      </c>
      <c r="AV1368" s="14"/>
      <c r="AW1368" s="74"/>
      <c r="AX1368" s="1"/>
      <c r="AY1368" s="17" t="s">
        <v>101</v>
      </c>
    </row>
    <row r="1369" spans="1:51" ht="15" customHeight="1" x14ac:dyDescent="0.25">
      <c r="A1369" s="5">
        <v>1289.3</v>
      </c>
      <c r="B1369" s="9" t="s">
        <v>15935</v>
      </c>
      <c r="C1369" s="9" t="s">
        <v>15904</v>
      </c>
      <c r="D1369" s="57" t="str">
        <f>HYPERLINK("http://prodenv.dep.state.fl.us/DepNexus/public/electronic-documents/OG_1289/facility!search","OG_1289_Docs")</f>
        <v>OG_1289_Docs</v>
      </c>
      <c r="E1369" s="57" t="str">
        <f>HYPERLINK("https://ca.dep.state.fl.us/mapdirect/?focus=oilandgas&amp;zoom=query&amp;querytype=oilandgas&amp;queryvalues=OG_1289","OG_1289_Map")</f>
        <v>OG_1289_Map</v>
      </c>
      <c r="F1369" s="1" t="s">
        <v>265</v>
      </c>
      <c r="G1369" s="1" t="s">
        <v>10452</v>
      </c>
      <c r="H1369" s="1" t="s">
        <v>1363</v>
      </c>
      <c r="I1369" s="1" t="s">
        <v>15936</v>
      </c>
      <c r="J1369" s="17" t="s">
        <v>5107</v>
      </c>
      <c r="K1369" s="17" t="s">
        <v>412</v>
      </c>
      <c r="L1369" s="17"/>
      <c r="M1369" s="17" t="s">
        <v>101</v>
      </c>
      <c r="N1369" s="52" t="s">
        <v>15937</v>
      </c>
      <c r="O1369" s="17" t="s">
        <v>270</v>
      </c>
      <c r="P1369" s="17" t="s">
        <v>3395</v>
      </c>
      <c r="Q1369" s="81" t="s">
        <v>14408</v>
      </c>
      <c r="R1369" s="11">
        <v>25.999917</v>
      </c>
      <c r="S1369" s="11">
        <v>-80.924417000000005</v>
      </c>
      <c r="T1369" s="11" t="s">
        <v>15908</v>
      </c>
      <c r="U1369" s="11" t="s">
        <v>15909</v>
      </c>
      <c r="V1369" s="17" t="s">
        <v>15910</v>
      </c>
      <c r="W1369" s="17" t="s">
        <v>15938</v>
      </c>
      <c r="X1369" s="70">
        <v>32</v>
      </c>
      <c r="Y1369" s="70">
        <v>13</v>
      </c>
      <c r="Z1369" s="13">
        <v>36208</v>
      </c>
      <c r="AA1369" s="13">
        <v>36332</v>
      </c>
      <c r="AB1369" s="13">
        <v>36350</v>
      </c>
      <c r="AC1369" s="13">
        <v>42857</v>
      </c>
      <c r="AD1369" s="86">
        <v>11364</v>
      </c>
      <c r="AE1369" s="86">
        <v>14656</v>
      </c>
      <c r="AF1369" s="70" t="s">
        <v>15912</v>
      </c>
      <c r="AG1369" s="17" t="s">
        <v>15913</v>
      </c>
      <c r="AH1369" s="17" t="s">
        <v>15914</v>
      </c>
      <c r="AI1369" s="71" t="s">
        <v>15915</v>
      </c>
      <c r="AJ1369" s="17" t="s">
        <v>15921</v>
      </c>
      <c r="AK1369" s="17" t="s">
        <v>95</v>
      </c>
      <c r="AL1369" s="17"/>
      <c r="AM1369" s="17"/>
      <c r="AN1369" s="17"/>
      <c r="AO1369" s="17"/>
      <c r="AP1369" s="17"/>
      <c r="AQ1369" s="17"/>
      <c r="AR1369" s="17" t="s">
        <v>15939</v>
      </c>
      <c r="AS1369" s="17" t="s">
        <v>15940</v>
      </c>
      <c r="AT1369" s="17"/>
      <c r="AU1369" s="30" t="s">
        <v>15941</v>
      </c>
      <c r="AV1369" s="14">
        <v>17984</v>
      </c>
      <c r="AW1369" s="74">
        <v>309928</v>
      </c>
      <c r="AX1369" s="1"/>
      <c r="AY1369" s="17" t="s">
        <v>101</v>
      </c>
    </row>
    <row r="1370" spans="1:51" ht="12.75" customHeight="1" x14ac:dyDescent="0.25">
      <c r="A1370" s="5">
        <v>1290</v>
      </c>
      <c r="B1370" s="9">
        <v>1290</v>
      </c>
      <c r="C1370" s="9" t="s">
        <v>15942</v>
      </c>
      <c r="D1370" s="57" t="str">
        <f>HYPERLINK("http://prodenv.dep.state.fl.us/DepNexus/public/electronic-documents/OG_1290/facility!search","OG_1290_Docs")</f>
        <v>OG_1290_Docs</v>
      </c>
      <c r="E1370" s="57" t="str">
        <f>HYPERLINK("https://ca.dep.state.fl.us/mapdirect/?focus=oilandgas&amp;zoom=query&amp;querytype=oilandgas&amp;queryvalues=OG_1290","OG_1290_Map")</f>
        <v>OG_1290_Map</v>
      </c>
      <c r="F1370" s="1" t="s">
        <v>1752</v>
      </c>
      <c r="G1370" s="1" t="s">
        <v>79</v>
      </c>
      <c r="H1370" s="1" t="s">
        <v>15893</v>
      </c>
      <c r="I1370" s="1" t="s">
        <v>15943</v>
      </c>
      <c r="J1370" s="17" t="s">
        <v>207</v>
      </c>
      <c r="K1370" s="17" t="s">
        <v>208</v>
      </c>
      <c r="L1370" s="17"/>
      <c r="M1370" s="17" t="s">
        <v>207</v>
      </c>
      <c r="N1370" s="52" t="s">
        <v>207</v>
      </c>
      <c r="O1370" s="17" t="s">
        <v>86</v>
      </c>
      <c r="P1370" s="17" t="s">
        <v>86</v>
      </c>
      <c r="Q1370" s="81" t="s">
        <v>15944</v>
      </c>
      <c r="R1370" s="11">
        <v>26.611532</v>
      </c>
      <c r="S1370" s="11">
        <v>-81.486864999999995</v>
      </c>
      <c r="T1370" s="11" t="s">
        <v>15945</v>
      </c>
      <c r="U1370" s="11" t="s">
        <v>15946</v>
      </c>
      <c r="V1370" s="17" t="s">
        <v>15947</v>
      </c>
      <c r="W1370" s="17" t="s">
        <v>110</v>
      </c>
      <c r="X1370" s="70"/>
      <c r="Y1370" s="70"/>
      <c r="Z1370" s="13">
        <v>34963</v>
      </c>
      <c r="AA1370" s="13"/>
      <c r="AB1370" s="13"/>
      <c r="AC1370" s="13"/>
      <c r="AD1370" s="86"/>
      <c r="AE1370" s="86"/>
      <c r="AF1370" s="70" t="s">
        <v>207</v>
      </c>
      <c r="AG1370" s="17" t="s">
        <v>207</v>
      </c>
      <c r="AH1370" s="17" t="s">
        <v>207</v>
      </c>
      <c r="AI1370" s="71" t="s">
        <v>207</v>
      </c>
      <c r="AJ1370" s="17" t="s">
        <v>207</v>
      </c>
      <c r="AK1370" s="17" t="s">
        <v>207</v>
      </c>
      <c r="AL1370" s="17" t="s">
        <v>207</v>
      </c>
      <c r="AM1370" s="17" t="s">
        <v>207</v>
      </c>
      <c r="AN1370" s="17" t="s">
        <v>207</v>
      </c>
      <c r="AO1370" s="17" t="s">
        <v>207</v>
      </c>
      <c r="AP1370" s="17" t="s">
        <v>207</v>
      </c>
      <c r="AQ1370" s="17" t="s">
        <v>207</v>
      </c>
      <c r="AR1370" s="17" t="s">
        <v>207</v>
      </c>
      <c r="AS1370" s="17" t="s">
        <v>207</v>
      </c>
      <c r="AT1370" s="17" t="s">
        <v>207</v>
      </c>
      <c r="AU1370" s="30" t="s">
        <v>1843</v>
      </c>
      <c r="AV1370" s="14"/>
      <c r="AW1370" s="74"/>
      <c r="AX1370" s="1"/>
      <c r="AY1370" s="17" t="s">
        <v>101</v>
      </c>
    </row>
    <row r="1371" spans="1:51" ht="15" customHeight="1" x14ac:dyDescent="0.25">
      <c r="A1371" s="5">
        <v>1291</v>
      </c>
      <c r="B1371" s="9">
        <v>1291</v>
      </c>
      <c r="C1371" s="9" t="s">
        <v>15948</v>
      </c>
      <c r="D1371" s="57" t="str">
        <f>HYPERLINK("http://prodenv.dep.state.fl.us/DepNexus/public/electronic-documents/OG_1291/facility!search","OG_1291_Docs")</f>
        <v>OG_1291_Docs</v>
      </c>
      <c r="E1371" s="57" t="str">
        <f>HYPERLINK("https://ca.dep.state.fl.us/mapdirect/?focus=oilandgas&amp;zoom=query&amp;querytype=oilandgas&amp;queryvalues=OG_1291","OG_1291_Map")</f>
        <v>OG_1291_Map</v>
      </c>
      <c r="F1371" s="1" t="s">
        <v>1752</v>
      </c>
      <c r="G1371" s="1" t="s">
        <v>79</v>
      </c>
      <c r="H1371" s="1" t="s">
        <v>15893</v>
      </c>
      <c r="I1371" s="1" t="s">
        <v>15949</v>
      </c>
      <c r="J1371" s="17" t="s">
        <v>207</v>
      </c>
      <c r="K1371" s="17" t="s">
        <v>208</v>
      </c>
      <c r="L1371" s="17"/>
      <c r="M1371" s="17" t="s">
        <v>207</v>
      </c>
      <c r="N1371" s="52" t="s">
        <v>207</v>
      </c>
      <c r="O1371" s="17" t="s">
        <v>86</v>
      </c>
      <c r="P1371" s="17" t="s">
        <v>86</v>
      </c>
      <c r="Q1371" s="81" t="s">
        <v>15950</v>
      </c>
      <c r="R1371" s="11">
        <v>26.611619999999998</v>
      </c>
      <c r="S1371" s="11">
        <v>-81.497479999999996</v>
      </c>
      <c r="T1371" s="11" t="s">
        <v>15951</v>
      </c>
      <c r="U1371" s="11" t="s">
        <v>15952</v>
      </c>
      <c r="V1371" s="17" t="s">
        <v>15953</v>
      </c>
      <c r="W1371" s="17" t="s">
        <v>110</v>
      </c>
      <c r="X1371" s="70"/>
      <c r="Y1371" s="70"/>
      <c r="Z1371" s="13">
        <v>34963</v>
      </c>
      <c r="AA1371" s="13"/>
      <c r="AB1371" s="13"/>
      <c r="AC1371" s="13"/>
      <c r="AD1371" s="86"/>
      <c r="AE1371" s="86"/>
      <c r="AF1371" s="70" t="s">
        <v>207</v>
      </c>
      <c r="AG1371" s="17" t="s">
        <v>207</v>
      </c>
      <c r="AH1371" s="17" t="s">
        <v>207</v>
      </c>
      <c r="AI1371" s="70" t="s">
        <v>207</v>
      </c>
      <c r="AJ1371" s="17" t="s">
        <v>207</v>
      </c>
      <c r="AK1371" s="17" t="s">
        <v>207</v>
      </c>
      <c r="AL1371" s="17" t="s">
        <v>207</v>
      </c>
      <c r="AM1371" s="17" t="s">
        <v>207</v>
      </c>
      <c r="AN1371" s="17" t="s">
        <v>207</v>
      </c>
      <c r="AO1371" s="17" t="s">
        <v>207</v>
      </c>
      <c r="AP1371" s="17" t="s">
        <v>207</v>
      </c>
      <c r="AQ1371" s="17" t="s">
        <v>207</v>
      </c>
      <c r="AR1371" s="17" t="s">
        <v>207</v>
      </c>
      <c r="AS1371" s="17" t="s">
        <v>207</v>
      </c>
      <c r="AT1371" s="17" t="s">
        <v>207</v>
      </c>
      <c r="AU1371" s="30" t="s">
        <v>1843</v>
      </c>
      <c r="AV1371" s="14"/>
      <c r="AW1371" s="74"/>
      <c r="AX1371" s="1"/>
      <c r="AY1371" s="17" t="s">
        <v>101</v>
      </c>
    </row>
    <row r="1372" spans="1:51" ht="15" customHeight="1" x14ac:dyDescent="0.25">
      <c r="A1372" s="5">
        <v>1292</v>
      </c>
      <c r="B1372" s="9">
        <v>1292</v>
      </c>
      <c r="C1372" s="9" t="s">
        <v>15954</v>
      </c>
      <c r="D1372" s="57" t="str">
        <f>HYPERLINK("http://prodenv.dep.state.fl.us/DepNexus/public/electronic-documents/OG_1292/facility!search","OG_1292_Docs")</f>
        <v>OG_1292_Docs</v>
      </c>
      <c r="E1372" s="57" t="str">
        <f>HYPERLINK("https://ca.dep.state.fl.us/mapdirect/?focus=oilandgas&amp;zoom=query&amp;querytype=oilandgas&amp;queryvalues=OG_1292","OG_1292_Map")</f>
        <v>OG_1292_Map</v>
      </c>
      <c r="F1372" s="1" t="s">
        <v>1752</v>
      </c>
      <c r="G1372" s="1" t="s">
        <v>79</v>
      </c>
      <c r="H1372" s="1" t="s">
        <v>15893</v>
      </c>
      <c r="I1372" s="1" t="s">
        <v>15955</v>
      </c>
      <c r="J1372" s="17" t="s">
        <v>82</v>
      </c>
      <c r="K1372" s="17" t="s">
        <v>83</v>
      </c>
      <c r="L1372" s="17"/>
      <c r="M1372" s="17" t="s">
        <v>101</v>
      </c>
      <c r="N1372" s="52" t="s">
        <v>15956</v>
      </c>
      <c r="O1372" s="17" t="s">
        <v>86</v>
      </c>
      <c r="P1372" s="17" t="s">
        <v>86</v>
      </c>
      <c r="Q1372" s="81" t="s">
        <v>15957</v>
      </c>
      <c r="R1372" s="11">
        <v>26.616266</v>
      </c>
      <c r="S1372" s="11">
        <v>-81.486726000000004</v>
      </c>
      <c r="T1372" s="11" t="s">
        <v>15958</v>
      </c>
      <c r="U1372" s="11" t="s">
        <v>15959</v>
      </c>
      <c r="V1372" s="17" t="s">
        <v>15960</v>
      </c>
      <c r="W1372" s="17" t="s">
        <v>110</v>
      </c>
      <c r="X1372" s="70">
        <v>48.76</v>
      </c>
      <c r="Y1372" s="70">
        <v>29.6</v>
      </c>
      <c r="Z1372" s="13">
        <v>34963</v>
      </c>
      <c r="AA1372" s="13">
        <v>35163</v>
      </c>
      <c r="AB1372" s="13">
        <v>35205</v>
      </c>
      <c r="AC1372" s="13">
        <v>35214</v>
      </c>
      <c r="AD1372" s="86">
        <v>11635</v>
      </c>
      <c r="AE1372" s="86">
        <v>11635</v>
      </c>
      <c r="AF1372" s="70" t="s">
        <v>15961</v>
      </c>
      <c r="AG1372" s="17" t="s">
        <v>15962</v>
      </c>
      <c r="AH1372" s="17" t="s">
        <v>15963</v>
      </c>
      <c r="AI1372" s="70"/>
      <c r="AJ1372" s="17"/>
      <c r="AK1372" s="17"/>
      <c r="AL1372" s="17" t="s">
        <v>15964</v>
      </c>
      <c r="AM1372" s="17" t="s">
        <v>95</v>
      </c>
      <c r="AN1372" s="17"/>
      <c r="AO1372" s="17"/>
      <c r="AP1372" s="17"/>
      <c r="AQ1372" s="17"/>
      <c r="AR1372" s="17"/>
      <c r="AS1372" s="17" t="s">
        <v>15965</v>
      </c>
      <c r="AT1372" s="17">
        <v>180</v>
      </c>
      <c r="AU1372" s="30" t="s">
        <v>15966</v>
      </c>
      <c r="AV1372" s="14">
        <v>17386</v>
      </c>
      <c r="AW1372" s="74"/>
      <c r="AX1372" s="1"/>
      <c r="AY1372" s="17" t="s">
        <v>101</v>
      </c>
    </row>
    <row r="1373" spans="1:51" ht="12.75" customHeight="1" x14ac:dyDescent="0.25">
      <c r="A1373" s="5">
        <v>1293</v>
      </c>
      <c r="B1373" s="9">
        <v>1293</v>
      </c>
      <c r="C1373" s="9" t="s">
        <v>15967</v>
      </c>
      <c r="D1373" s="57" t="str">
        <f>HYPERLINK("http://prodenv.dep.state.fl.us/DepNexus/public/electronic-documents/OG_1293/facility!search","OG_1293_Docs")</f>
        <v>OG_1293_Docs</v>
      </c>
      <c r="E1373" s="57" t="str">
        <f>HYPERLINK("https://ca.dep.state.fl.us/mapdirect/?focus=oilandgas&amp;zoom=query&amp;querytype=oilandgas&amp;queryvalues=OG_1293","OG_1293_Map")</f>
        <v>OG_1293_Map</v>
      </c>
      <c r="F1373" s="1" t="s">
        <v>1797</v>
      </c>
      <c r="G1373" s="1" t="s">
        <v>14779</v>
      </c>
      <c r="H1373" s="1" t="s">
        <v>15968</v>
      </c>
      <c r="I1373" s="1" t="s">
        <v>15969</v>
      </c>
      <c r="J1373" s="17" t="s">
        <v>207</v>
      </c>
      <c r="K1373" s="17" t="s">
        <v>208</v>
      </c>
      <c r="L1373" s="17"/>
      <c r="M1373" s="17" t="s">
        <v>207</v>
      </c>
      <c r="N1373" s="52" t="s">
        <v>207</v>
      </c>
      <c r="O1373" s="17" t="s">
        <v>15970</v>
      </c>
      <c r="P1373" s="17" t="s">
        <v>86</v>
      </c>
      <c r="Q1373" s="81" t="s">
        <v>15273</v>
      </c>
      <c r="R1373" s="11">
        <v>30.977855000000002</v>
      </c>
      <c r="S1373" s="11">
        <v>-86.832536000000005</v>
      </c>
      <c r="T1373" s="11" t="s">
        <v>15971</v>
      </c>
      <c r="U1373" s="11" t="s">
        <v>15972</v>
      </c>
      <c r="V1373" s="17" t="s">
        <v>15973</v>
      </c>
      <c r="W1373" s="17" t="s">
        <v>110</v>
      </c>
      <c r="X1373" s="70"/>
      <c r="Y1373" s="70"/>
      <c r="Z1373" s="13">
        <v>35179</v>
      </c>
      <c r="AA1373" s="13"/>
      <c r="AB1373" s="13"/>
      <c r="AC1373" s="13"/>
      <c r="AD1373" s="86"/>
      <c r="AE1373" s="86"/>
      <c r="AF1373" s="70" t="s">
        <v>207</v>
      </c>
      <c r="AG1373" s="14" t="s">
        <v>207</v>
      </c>
      <c r="AH1373" s="14" t="s">
        <v>207</v>
      </c>
      <c r="AI1373" s="70" t="s">
        <v>207</v>
      </c>
      <c r="AJ1373" s="14" t="s">
        <v>207</v>
      </c>
      <c r="AK1373" s="14" t="s">
        <v>207</v>
      </c>
      <c r="AL1373" s="14" t="s">
        <v>207</v>
      </c>
      <c r="AM1373" s="14" t="s">
        <v>207</v>
      </c>
      <c r="AN1373" s="14" t="s">
        <v>207</v>
      </c>
      <c r="AO1373" s="14" t="s">
        <v>207</v>
      </c>
      <c r="AP1373" s="14" t="s">
        <v>207</v>
      </c>
      <c r="AQ1373" s="14" t="s">
        <v>207</v>
      </c>
      <c r="AR1373" s="14" t="s">
        <v>207</v>
      </c>
      <c r="AS1373" s="14" t="s">
        <v>207</v>
      </c>
      <c r="AT1373" s="14" t="s">
        <v>207</v>
      </c>
      <c r="AU1373" s="30" t="s">
        <v>1843</v>
      </c>
      <c r="AV1373" s="14" t="s">
        <v>207</v>
      </c>
      <c r="AW1373" s="74"/>
      <c r="AX1373" s="1"/>
      <c r="AY1373" s="17" t="s">
        <v>101</v>
      </c>
    </row>
    <row r="1374" spans="1:51" ht="12.75" customHeight="1" x14ac:dyDescent="0.25">
      <c r="A1374" s="5">
        <v>1294</v>
      </c>
      <c r="B1374" s="9">
        <v>1294</v>
      </c>
      <c r="C1374" s="9" t="s">
        <v>15974</v>
      </c>
      <c r="D1374" s="57" t="str">
        <f>HYPERLINK("http://prodenv.dep.state.fl.us/DepNexus/public/electronic-documents/OG_1294/facility!search","OG_1294_Docs")</f>
        <v>OG_1294_Docs</v>
      </c>
      <c r="E1374" s="57" t="str">
        <f>HYPERLINK("https://ca.dep.state.fl.us/mapdirect/?focus=oilandgas&amp;zoom=query&amp;querytype=oilandgas&amp;queryvalues=OG_1294","OG_1294_Map")</f>
        <v>OG_1294_Map</v>
      </c>
      <c r="F1374" s="1" t="s">
        <v>1752</v>
      </c>
      <c r="G1374" s="1" t="s">
        <v>4496</v>
      </c>
      <c r="H1374" s="1" t="s">
        <v>15975</v>
      </c>
      <c r="I1374" s="1" t="s">
        <v>15976</v>
      </c>
      <c r="J1374" s="17" t="s">
        <v>82</v>
      </c>
      <c r="K1374" s="17" t="s">
        <v>83</v>
      </c>
      <c r="L1374" s="17"/>
      <c r="M1374" s="17"/>
      <c r="N1374" s="52"/>
      <c r="O1374" s="17" t="s">
        <v>86</v>
      </c>
      <c r="P1374" s="17" t="s">
        <v>86</v>
      </c>
      <c r="Q1374" s="81" t="s">
        <v>5186</v>
      </c>
      <c r="R1374" s="11">
        <v>26.531495</v>
      </c>
      <c r="S1374" s="11">
        <v>-81.551697000000004</v>
      </c>
      <c r="T1374" s="11" t="s">
        <v>15977</v>
      </c>
      <c r="U1374" s="11" t="s">
        <v>15978</v>
      </c>
      <c r="V1374" s="17" t="s">
        <v>15979</v>
      </c>
      <c r="W1374" s="17" t="s">
        <v>15980</v>
      </c>
      <c r="X1374" s="70">
        <v>52</v>
      </c>
      <c r="Y1374" s="70">
        <v>31</v>
      </c>
      <c r="Z1374" s="13">
        <v>35192</v>
      </c>
      <c r="AA1374" s="13">
        <v>35266</v>
      </c>
      <c r="AB1374" s="13">
        <v>35312</v>
      </c>
      <c r="AC1374" s="13">
        <v>35312</v>
      </c>
      <c r="AD1374" s="86">
        <v>11477</v>
      </c>
      <c r="AE1374" s="86">
        <v>11585</v>
      </c>
      <c r="AF1374" s="70" t="s">
        <v>15981</v>
      </c>
      <c r="AG1374" s="17" t="s">
        <v>15982</v>
      </c>
      <c r="AH1374" s="17" t="s">
        <v>15983</v>
      </c>
      <c r="AI1374" s="70"/>
      <c r="AJ1374" s="17"/>
      <c r="AK1374" s="17"/>
      <c r="AL1374" s="17"/>
      <c r="AM1374" s="17"/>
      <c r="AN1374" s="17"/>
      <c r="AO1374" s="17"/>
      <c r="AP1374" s="17"/>
      <c r="AQ1374" s="17"/>
      <c r="AR1374" s="17"/>
      <c r="AS1374" s="17" t="s">
        <v>15984</v>
      </c>
      <c r="AT1374" s="17"/>
      <c r="AU1374" s="30" t="s">
        <v>15985</v>
      </c>
      <c r="AV1374" s="14">
        <v>17592</v>
      </c>
      <c r="AW1374" s="74"/>
      <c r="AX1374" s="1"/>
      <c r="AY1374" s="17" t="s">
        <v>101</v>
      </c>
    </row>
    <row r="1375" spans="1:51" ht="12.75" customHeight="1" x14ac:dyDescent="0.25">
      <c r="A1375" s="5">
        <v>1294.0999999999999</v>
      </c>
      <c r="B1375" s="9" t="s">
        <v>15986</v>
      </c>
      <c r="C1375" s="9" t="s">
        <v>15974</v>
      </c>
      <c r="D1375" s="57" t="str">
        <f>HYPERLINK("http://prodenv.dep.state.fl.us/DepNexus/public/electronic-documents/OG_1294/facility!search","OG_1294_Docs")</f>
        <v>OG_1294_Docs</v>
      </c>
      <c r="E1375" s="57" t="str">
        <f>HYPERLINK("https://ca.dep.state.fl.us/mapdirect/?focus=oilandgas&amp;zoom=query&amp;querytype=oilandgas&amp;queryvalues=OG_1294","OG_1294_Map")</f>
        <v>OG_1294_Map</v>
      </c>
      <c r="F1375" s="1" t="s">
        <v>1752</v>
      </c>
      <c r="G1375" s="1" t="s">
        <v>4496</v>
      </c>
      <c r="H1375" s="1" t="s">
        <v>15975</v>
      </c>
      <c r="I1375" s="1" t="s">
        <v>15976</v>
      </c>
      <c r="J1375" s="17" t="s">
        <v>82</v>
      </c>
      <c r="K1375" s="17" t="s">
        <v>83</v>
      </c>
      <c r="L1375" s="17"/>
      <c r="M1375" s="17"/>
      <c r="N1375" s="52"/>
      <c r="O1375" s="17" t="s">
        <v>86</v>
      </c>
      <c r="P1375" s="17" t="s">
        <v>86</v>
      </c>
      <c r="Q1375" s="81" t="s">
        <v>5186</v>
      </c>
      <c r="R1375" s="11">
        <v>26.531495</v>
      </c>
      <c r="S1375" s="11">
        <v>-81.551697000000004</v>
      </c>
      <c r="T1375" s="11" t="s">
        <v>15977</v>
      </c>
      <c r="U1375" s="11" t="s">
        <v>15978</v>
      </c>
      <c r="V1375" s="17" t="s">
        <v>15979</v>
      </c>
      <c r="W1375" s="17" t="s">
        <v>15987</v>
      </c>
      <c r="X1375" s="70">
        <v>52</v>
      </c>
      <c r="Y1375" s="70">
        <v>31</v>
      </c>
      <c r="Z1375" s="13">
        <v>35192</v>
      </c>
      <c r="AA1375" s="13">
        <v>35313</v>
      </c>
      <c r="AB1375" s="13">
        <v>35329</v>
      </c>
      <c r="AC1375" s="13">
        <v>35329</v>
      </c>
      <c r="AD1375" s="86">
        <v>11446</v>
      </c>
      <c r="AE1375" s="86">
        <v>11612</v>
      </c>
      <c r="AF1375" s="70" t="s">
        <v>15981</v>
      </c>
      <c r="AG1375" s="17" t="s">
        <v>15982</v>
      </c>
      <c r="AH1375" s="17" t="s">
        <v>15983</v>
      </c>
      <c r="AI1375" s="70"/>
      <c r="AJ1375" s="17"/>
      <c r="AK1375" s="17"/>
      <c r="AL1375" s="17"/>
      <c r="AM1375" s="17"/>
      <c r="AN1375" s="17"/>
      <c r="AO1375" s="17"/>
      <c r="AP1375" s="17"/>
      <c r="AQ1375" s="17"/>
      <c r="AR1375" s="17"/>
      <c r="AS1375" s="17"/>
      <c r="AT1375" s="17"/>
      <c r="AU1375" s="30" t="s">
        <v>15988</v>
      </c>
      <c r="AV1375" s="14"/>
      <c r="AW1375" s="74"/>
      <c r="AX1375" s="1"/>
      <c r="AY1375" s="17" t="s">
        <v>101</v>
      </c>
    </row>
    <row r="1376" spans="1:51" ht="12.75" customHeight="1" x14ac:dyDescent="0.25">
      <c r="A1376" s="5">
        <v>1294.2</v>
      </c>
      <c r="B1376" s="9" t="s">
        <v>15989</v>
      </c>
      <c r="C1376" s="9" t="s">
        <v>15974</v>
      </c>
      <c r="D1376" s="57" t="str">
        <f>HYPERLINK("http://prodenv.dep.state.fl.us/DepNexus/public/electronic-documents/OG_1294/facility!search","OG_1294_Docs")</f>
        <v>OG_1294_Docs</v>
      </c>
      <c r="E1376" s="57" t="str">
        <f>HYPERLINK("https://ca.dep.state.fl.us/mapdirect/?focus=oilandgas&amp;zoom=query&amp;querytype=oilandgas&amp;queryvalues=OG_1294","OG_1294_Map")</f>
        <v>OG_1294_Map</v>
      </c>
      <c r="F1376" s="1" t="s">
        <v>1752</v>
      </c>
      <c r="G1376" s="1" t="s">
        <v>4496</v>
      </c>
      <c r="H1376" s="1" t="s">
        <v>15975</v>
      </c>
      <c r="I1376" s="1" t="s">
        <v>15976</v>
      </c>
      <c r="J1376" s="17" t="s">
        <v>82</v>
      </c>
      <c r="K1376" s="17" t="s">
        <v>83</v>
      </c>
      <c r="L1376" s="17"/>
      <c r="M1376" s="17"/>
      <c r="N1376" s="52"/>
      <c r="O1376" s="17" t="s">
        <v>86</v>
      </c>
      <c r="P1376" s="17" t="s">
        <v>86</v>
      </c>
      <c r="Q1376" s="81" t="s">
        <v>5186</v>
      </c>
      <c r="R1376" s="11">
        <v>26.531495</v>
      </c>
      <c r="S1376" s="11">
        <v>-81.551697000000004</v>
      </c>
      <c r="T1376" s="11" t="s">
        <v>15977</v>
      </c>
      <c r="U1376" s="11" t="s">
        <v>15978</v>
      </c>
      <c r="V1376" s="17" t="s">
        <v>15979</v>
      </c>
      <c r="W1376" s="17" t="s">
        <v>15990</v>
      </c>
      <c r="X1376" s="70">
        <v>52</v>
      </c>
      <c r="Y1376" s="70">
        <v>31</v>
      </c>
      <c r="Z1376" s="13">
        <v>35192</v>
      </c>
      <c r="AA1376" s="13">
        <v>35330</v>
      </c>
      <c r="AB1376" s="13">
        <v>35341</v>
      </c>
      <c r="AC1376" s="13">
        <v>35341</v>
      </c>
      <c r="AD1376" s="86">
        <v>11447</v>
      </c>
      <c r="AE1376" s="86">
        <v>11628</v>
      </c>
      <c r="AF1376" s="70" t="s">
        <v>15981</v>
      </c>
      <c r="AG1376" s="17" t="s">
        <v>15982</v>
      </c>
      <c r="AH1376" s="17" t="s">
        <v>15983</v>
      </c>
      <c r="AI1376" s="70"/>
      <c r="AJ1376" s="17"/>
      <c r="AK1376" s="17"/>
      <c r="AL1376" s="17"/>
      <c r="AM1376" s="17"/>
      <c r="AN1376" s="17"/>
      <c r="AO1376" s="17"/>
      <c r="AP1376" s="17"/>
      <c r="AQ1376" s="17"/>
      <c r="AR1376" s="17"/>
      <c r="AS1376" s="17"/>
      <c r="AT1376" s="17"/>
      <c r="AU1376" s="30" t="s">
        <v>15991</v>
      </c>
      <c r="AV1376" s="14"/>
      <c r="AW1376" s="74"/>
      <c r="AX1376" s="1"/>
      <c r="AY1376" s="17" t="s">
        <v>101</v>
      </c>
    </row>
    <row r="1377" spans="1:51" ht="12.75" customHeight="1" x14ac:dyDescent="0.25">
      <c r="A1377" s="5">
        <v>1294.3</v>
      </c>
      <c r="B1377" s="9" t="s">
        <v>15992</v>
      </c>
      <c r="C1377" s="9" t="s">
        <v>15974</v>
      </c>
      <c r="D1377" s="57" t="str">
        <f>HYPERLINK("http://prodenv.dep.state.fl.us/DepNexus/public/electronic-documents/OG_1294/facility!search","OG_1294_Docs")</f>
        <v>OG_1294_Docs</v>
      </c>
      <c r="E1377" s="57" t="str">
        <f>HYPERLINK("https://ca.dep.state.fl.us/mapdirect/?focus=oilandgas&amp;zoom=query&amp;querytype=oilandgas&amp;queryvalues=OG_1294","OG_1294_Map")</f>
        <v>OG_1294_Map</v>
      </c>
      <c r="F1377" s="1" t="s">
        <v>1752</v>
      </c>
      <c r="G1377" s="1" t="s">
        <v>4496</v>
      </c>
      <c r="H1377" s="1" t="s">
        <v>15975</v>
      </c>
      <c r="I1377" s="1" t="s">
        <v>15976</v>
      </c>
      <c r="J1377" s="17" t="s">
        <v>82</v>
      </c>
      <c r="K1377" s="17" t="s">
        <v>83</v>
      </c>
      <c r="L1377" s="17"/>
      <c r="M1377" s="17"/>
      <c r="N1377" s="52"/>
      <c r="O1377" s="17" t="s">
        <v>86</v>
      </c>
      <c r="P1377" s="17" t="s">
        <v>86</v>
      </c>
      <c r="Q1377" s="81" t="s">
        <v>5186</v>
      </c>
      <c r="R1377" s="11">
        <v>26.531495</v>
      </c>
      <c r="S1377" s="11">
        <v>-81.551697000000004</v>
      </c>
      <c r="T1377" s="11" t="s">
        <v>15977</v>
      </c>
      <c r="U1377" s="11" t="s">
        <v>15978</v>
      </c>
      <c r="V1377" s="17" t="s">
        <v>15979</v>
      </c>
      <c r="W1377" s="17" t="s">
        <v>15993</v>
      </c>
      <c r="X1377" s="70">
        <v>52</v>
      </c>
      <c r="Y1377" s="70">
        <v>31</v>
      </c>
      <c r="Z1377" s="13">
        <v>35192</v>
      </c>
      <c r="AA1377" s="13">
        <v>35342</v>
      </c>
      <c r="AB1377" s="13">
        <v>35355</v>
      </c>
      <c r="AC1377" s="13">
        <v>35355</v>
      </c>
      <c r="AD1377" s="86">
        <v>11463</v>
      </c>
      <c r="AE1377" s="86">
        <v>11622</v>
      </c>
      <c r="AF1377" s="70" t="s">
        <v>15981</v>
      </c>
      <c r="AG1377" s="17" t="s">
        <v>15982</v>
      </c>
      <c r="AH1377" s="17" t="s">
        <v>15983</v>
      </c>
      <c r="AI1377" s="70"/>
      <c r="AJ1377" s="17"/>
      <c r="AK1377" s="17"/>
      <c r="AL1377" s="17"/>
      <c r="AM1377" s="17"/>
      <c r="AN1377" s="17"/>
      <c r="AO1377" s="17"/>
      <c r="AP1377" s="17"/>
      <c r="AQ1377" s="17"/>
      <c r="AR1377" s="17"/>
      <c r="AS1377" s="17"/>
      <c r="AT1377" s="17"/>
      <c r="AU1377" s="30" t="s">
        <v>15994</v>
      </c>
      <c r="AV1377" s="14"/>
      <c r="AW1377" s="74"/>
      <c r="AX1377" s="1"/>
      <c r="AY1377" s="17" t="s">
        <v>101</v>
      </c>
    </row>
    <row r="1378" spans="1:51" ht="12.75" customHeight="1" x14ac:dyDescent="0.25">
      <c r="A1378" s="5">
        <v>1294.4000000000001</v>
      </c>
      <c r="B1378" s="9" t="s">
        <v>15995</v>
      </c>
      <c r="C1378" s="9" t="s">
        <v>15974</v>
      </c>
      <c r="D1378" s="57" t="str">
        <f>HYPERLINK("http://prodenv.dep.state.fl.us/DepNexus/public/electronic-documents/OG_1294/facility!search","OG_1294_Docs")</f>
        <v>OG_1294_Docs</v>
      </c>
      <c r="E1378" s="57" t="str">
        <f>HYPERLINK("https://ca.dep.state.fl.us/mapdirect/?focus=oilandgas&amp;zoom=query&amp;querytype=oilandgas&amp;queryvalues=OG_1294","OG_1294_Map")</f>
        <v>OG_1294_Map</v>
      </c>
      <c r="F1378" s="1" t="s">
        <v>1752</v>
      </c>
      <c r="G1378" s="1" t="s">
        <v>4496</v>
      </c>
      <c r="H1378" s="1" t="s">
        <v>1363</v>
      </c>
      <c r="I1378" s="1" t="s">
        <v>15976</v>
      </c>
      <c r="J1378" s="17" t="s">
        <v>3646</v>
      </c>
      <c r="K1378" s="17" t="s">
        <v>412</v>
      </c>
      <c r="L1378" s="17"/>
      <c r="M1378" s="17"/>
      <c r="N1378" s="52"/>
      <c r="O1378" s="17" t="s">
        <v>86</v>
      </c>
      <c r="P1378" s="17" t="s">
        <v>86</v>
      </c>
      <c r="Q1378" s="81" t="s">
        <v>5186</v>
      </c>
      <c r="R1378" s="11">
        <v>26.531495</v>
      </c>
      <c r="S1378" s="11">
        <v>-81.551697000000004</v>
      </c>
      <c r="T1378" s="11" t="s">
        <v>15977</v>
      </c>
      <c r="U1378" s="11" t="s">
        <v>15978</v>
      </c>
      <c r="V1378" s="17" t="s">
        <v>15979</v>
      </c>
      <c r="W1378" s="17" t="s">
        <v>15996</v>
      </c>
      <c r="X1378" s="70">
        <v>52</v>
      </c>
      <c r="Y1378" s="70">
        <v>31</v>
      </c>
      <c r="Z1378" s="13">
        <v>35192</v>
      </c>
      <c r="AA1378" s="13">
        <v>35356</v>
      </c>
      <c r="AB1378" s="13">
        <v>35374</v>
      </c>
      <c r="AC1378" s="13"/>
      <c r="AD1378" s="86">
        <v>11454</v>
      </c>
      <c r="AE1378" s="86">
        <v>12292</v>
      </c>
      <c r="AF1378" s="70" t="s">
        <v>15981</v>
      </c>
      <c r="AG1378" s="17" t="s">
        <v>15982</v>
      </c>
      <c r="AH1378" s="17" t="s">
        <v>15983</v>
      </c>
      <c r="AI1378" s="70" t="s">
        <v>15997</v>
      </c>
      <c r="AJ1378" s="17" t="s">
        <v>15998</v>
      </c>
      <c r="AK1378" s="17"/>
      <c r="AL1378" s="17"/>
      <c r="AM1378" s="17"/>
      <c r="AN1378" s="17"/>
      <c r="AO1378" s="17"/>
      <c r="AP1378" s="17"/>
      <c r="AQ1378" s="17"/>
      <c r="AR1378" s="17" t="s">
        <v>15999</v>
      </c>
      <c r="AS1378" s="17"/>
      <c r="AT1378" s="17"/>
      <c r="AU1378" s="30" t="s">
        <v>16000</v>
      </c>
      <c r="AV1378" s="14"/>
      <c r="AW1378" s="74">
        <v>309630</v>
      </c>
      <c r="AX1378" s="1"/>
      <c r="AY1378" s="17" t="s">
        <v>101</v>
      </c>
    </row>
    <row r="1379" spans="1:51" ht="12.75" customHeight="1" x14ac:dyDescent="0.25">
      <c r="A1379" s="5">
        <v>1295</v>
      </c>
      <c r="B1379" s="9" t="s">
        <v>16001</v>
      </c>
      <c r="C1379" s="9" t="s">
        <v>16002</v>
      </c>
      <c r="D1379" s="57" t="str">
        <f>HYPERLINK("http://prodenv.dep.state.fl.us/DepNexus/public/electronic-documents/OG_1295/facility!search","OG_1295_Docs")</f>
        <v>OG_1295_Docs</v>
      </c>
      <c r="E1379" s="57" t="str">
        <f>HYPERLINK("https://ca.dep.state.fl.us/mapdirect/?focus=oilandgas&amp;zoom=query&amp;querytype=oilandgas&amp;queryvalues=OG_1295","OG_1295_Map")</f>
        <v>OG_1295_Map</v>
      </c>
      <c r="F1379" s="1" t="s">
        <v>1752</v>
      </c>
      <c r="G1379" s="1" t="s">
        <v>4496</v>
      </c>
      <c r="H1379" s="1" t="s">
        <v>1363</v>
      </c>
      <c r="I1379" s="1" t="s">
        <v>16003</v>
      </c>
      <c r="J1379" s="17" t="s">
        <v>3646</v>
      </c>
      <c r="K1379" s="17" t="s">
        <v>412</v>
      </c>
      <c r="L1379" s="17"/>
      <c r="M1379" s="17"/>
      <c r="N1379" s="52"/>
      <c r="O1379" s="17" t="s">
        <v>86</v>
      </c>
      <c r="P1379" s="17" t="s">
        <v>86</v>
      </c>
      <c r="Q1379" s="81" t="s">
        <v>5728</v>
      </c>
      <c r="R1379" s="11">
        <v>26.537534000000001</v>
      </c>
      <c r="S1379" s="11">
        <v>-81.543887999999995</v>
      </c>
      <c r="T1379" s="11" t="s">
        <v>16004</v>
      </c>
      <c r="U1379" s="11" t="s">
        <v>16005</v>
      </c>
      <c r="V1379" s="17" t="s">
        <v>16006</v>
      </c>
      <c r="W1379" s="17" t="s">
        <v>16007</v>
      </c>
      <c r="X1379" s="70">
        <v>50</v>
      </c>
      <c r="Y1379" s="70">
        <v>30.3</v>
      </c>
      <c r="Z1379" s="13">
        <v>35241</v>
      </c>
      <c r="AA1379" s="13">
        <v>35545</v>
      </c>
      <c r="AB1379" s="13">
        <v>35710</v>
      </c>
      <c r="AC1379" s="13"/>
      <c r="AD1379" s="86">
        <v>11435</v>
      </c>
      <c r="AE1379" s="86">
        <v>12267</v>
      </c>
      <c r="AF1379" s="70" t="s">
        <v>16008</v>
      </c>
      <c r="AG1379" s="17" t="s">
        <v>16009</v>
      </c>
      <c r="AH1379" s="17" t="s">
        <v>16010</v>
      </c>
      <c r="AI1379" s="70" t="s">
        <v>16011</v>
      </c>
      <c r="AJ1379" s="17" t="s">
        <v>16012</v>
      </c>
      <c r="AK1379" s="17" t="s">
        <v>16013</v>
      </c>
      <c r="AL1379" s="17" t="s">
        <v>16014</v>
      </c>
      <c r="AM1379" s="17" t="s">
        <v>95</v>
      </c>
      <c r="AN1379" s="17" t="s">
        <v>98</v>
      </c>
      <c r="AO1379" s="17" t="s">
        <v>16015</v>
      </c>
      <c r="AP1379" s="17" t="s">
        <v>16016</v>
      </c>
      <c r="AQ1379" s="17" t="s">
        <v>16017</v>
      </c>
      <c r="AR1379" s="17" t="s">
        <v>16018</v>
      </c>
      <c r="AS1379" s="17"/>
      <c r="AT1379" s="17"/>
      <c r="AU1379" s="30" t="s">
        <v>16019</v>
      </c>
      <c r="AV1379" s="14">
        <v>17728</v>
      </c>
      <c r="AW1379" s="74">
        <v>309939</v>
      </c>
      <c r="AX1379" s="1"/>
      <c r="AY1379" s="17" t="s">
        <v>101</v>
      </c>
    </row>
    <row r="1380" spans="1:51" ht="15" customHeight="1" x14ac:dyDescent="0.25">
      <c r="A1380" s="5">
        <v>1296</v>
      </c>
      <c r="B1380" s="9">
        <v>1296</v>
      </c>
      <c r="C1380" s="9" t="s">
        <v>16020</v>
      </c>
      <c r="D1380" s="57" t="str">
        <f>HYPERLINK("http://prodenv.dep.state.fl.us/DepNexus/public/electronic-documents/OG_1296/facility!search","OG_1296_Docs")</f>
        <v>OG_1296_Docs</v>
      </c>
      <c r="E1380" s="57" t="str">
        <f>HYPERLINK("https://ca.dep.state.fl.us/mapdirect/?focus=oilandgas&amp;zoom=query&amp;querytype=oilandgas&amp;queryvalues=OG_1296","OG_1296_Map")</f>
        <v>OG_1296_Map</v>
      </c>
      <c r="F1380" s="1" t="s">
        <v>191</v>
      </c>
      <c r="G1380" s="1" t="s">
        <v>79</v>
      </c>
      <c r="H1380" s="1" t="s">
        <v>909</v>
      </c>
      <c r="I1380" s="1" t="s">
        <v>16021</v>
      </c>
      <c r="J1380" s="17" t="s">
        <v>207</v>
      </c>
      <c r="K1380" s="17" t="s">
        <v>13501</v>
      </c>
      <c r="L1380" s="17"/>
      <c r="M1380" s="17" t="s">
        <v>207</v>
      </c>
      <c r="N1380" s="52"/>
      <c r="O1380" s="17" t="s">
        <v>13619</v>
      </c>
      <c r="P1380" s="17" t="s">
        <v>86</v>
      </c>
      <c r="Q1380" s="81" t="s">
        <v>13619</v>
      </c>
      <c r="R1380" s="11">
        <v>29.491661000000001</v>
      </c>
      <c r="S1380" s="15">
        <v>-85.153051000000005</v>
      </c>
      <c r="T1380" s="11" t="s">
        <v>16022</v>
      </c>
      <c r="U1380" s="11" t="s">
        <v>16023</v>
      </c>
      <c r="V1380" s="17" t="s">
        <v>233</v>
      </c>
      <c r="W1380" s="17" t="s">
        <v>207</v>
      </c>
      <c r="X1380" s="70"/>
      <c r="Y1380" s="70"/>
      <c r="Z1380" s="13"/>
      <c r="AA1380" s="26"/>
      <c r="AB1380" s="14"/>
      <c r="AC1380" s="14"/>
      <c r="AD1380" s="70"/>
      <c r="AE1380" s="70"/>
      <c r="AF1380" s="71" t="s">
        <v>207</v>
      </c>
      <c r="AG1380" s="27" t="s">
        <v>207</v>
      </c>
      <c r="AH1380" s="27" t="s">
        <v>207</v>
      </c>
      <c r="AI1380" s="71" t="s">
        <v>207</v>
      </c>
      <c r="AJ1380" s="27" t="s">
        <v>207</v>
      </c>
      <c r="AK1380" s="27" t="s">
        <v>207</v>
      </c>
      <c r="AL1380" s="27" t="s">
        <v>207</v>
      </c>
      <c r="AM1380" s="27" t="s">
        <v>207</v>
      </c>
      <c r="AN1380" s="27" t="s">
        <v>207</v>
      </c>
      <c r="AO1380" s="27" t="s">
        <v>207</v>
      </c>
      <c r="AP1380" s="27" t="s">
        <v>207</v>
      </c>
      <c r="AQ1380" s="27" t="s">
        <v>207</v>
      </c>
      <c r="AR1380" s="27" t="s">
        <v>207</v>
      </c>
      <c r="AS1380" s="27" t="s">
        <v>207</v>
      </c>
      <c r="AT1380" s="27" t="s">
        <v>207</v>
      </c>
      <c r="AU1380" s="30" t="s">
        <v>1843</v>
      </c>
      <c r="AV1380" s="14" t="s">
        <v>207</v>
      </c>
      <c r="AW1380" s="74"/>
      <c r="AX1380" s="17" t="s">
        <v>13501</v>
      </c>
      <c r="AY1380" s="17" t="s">
        <v>101</v>
      </c>
    </row>
    <row r="1381" spans="1:51" ht="15" customHeight="1" x14ac:dyDescent="0.25">
      <c r="A1381" s="5">
        <v>1297</v>
      </c>
      <c r="B1381" s="9">
        <v>1297</v>
      </c>
      <c r="C1381" s="9" t="s">
        <v>16024</v>
      </c>
      <c r="D1381" s="57" t="str">
        <f>HYPERLINK("http://prodenv.dep.state.fl.us/DepNexus/public/electronic-documents/OG_1297/facility!search","OG_1297_Docs")</f>
        <v>OG_1297_Docs</v>
      </c>
      <c r="E1381" s="57" t="str">
        <f>HYPERLINK("https://ca.dep.state.fl.us/mapdirect/?focus=oilandgas&amp;zoom=query&amp;querytype=oilandgas&amp;queryvalues=OG_1297","OG_1297_Map")</f>
        <v>OG_1297_Map</v>
      </c>
      <c r="F1381" s="1" t="s">
        <v>191</v>
      </c>
      <c r="G1381" s="1" t="s">
        <v>79</v>
      </c>
      <c r="H1381" s="1" t="s">
        <v>909</v>
      </c>
      <c r="I1381" s="1" t="s">
        <v>16025</v>
      </c>
      <c r="J1381" s="17" t="s">
        <v>207</v>
      </c>
      <c r="K1381" s="17" t="s">
        <v>13501</v>
      </c>
      <c r="L1381" s="17"/>
      <c r="M1381" s="17" t="s">
        <v>207</v>
      </c>
      <c r="N1381" s="52"/>
      <c r="O1381" s="17" t="s">
        <v>13619</v>
      </c>
      <c r="P1381" s="17" t="s">
        <v>86</v>
      </c>
      <c r="Q1381" s="81" t="s">
        <v>13619</v>
      </c>
      <c r="R1381" s="11">
        <v>29.468883000000002</v>
      </c>
      <c r="S1381" s="11">
        <v>-85.110828999999995</v>
      </c>
      <c r="T1381" s="11" t="s">
        <v>16026</v>
      </c>
      <c r="U1381" s="11" t="s">
        <v>16027</v>
      </c>
      <c r="V1381" s="17" t="s">
        <v>233</v>
      </c>
      <c r="W1381" s="17" t="s">
        <v>207</v>
      </c>
      <c r="X1381" s="70"/>
      <c r="Y1381" s="70"/>
      <c r="Z1381" s="13"/>
      <c r="AA1381" s="26"/>
      <c r="AB1381" s="14"/>
      <c r="AC1381" s="14"/>
      <c r="AD1381" s="70"/>
      <c r="AE1381" s="70"/>
      <c r="AF1381" s="71" t="s">
        <v>207</v>
      </c>
      <c r="AG1381" s="27" t="s">
        <v>207</v>
      </c>
      <c r="AH1381" s="27" t="s">
        <v>207</v>
      </c>
      <c r="AI1381" s="71" t="s">
        <v>207</v>
      </c>
      <c r="AJ1381" s="27" t="s">
        <v>207</v>
      </c>
      <c r="AK1381" s="27" t="s">
        <v>207</v>
      </c>
      <c r="AL1381" s="27" t="s">
        <v>207</v>
      </c>
      <c r="AM1381" s="27" t="s">
        <v>207</v>
      </c>
      <c r="AN1381" s="27" t="s">
        <v>207</v>
      </c>
      <c r="AO1381" s="27" t="s">
        <v>207</v>
      </c>
      <c r="AP1381" s="27" t="s">
        <v>207</v>
      </c>
      <c r="AQ1381" s="27" t="s">
        <v>207</v>
      </c>
      <c r="AR1381" s="27" t="s">
        <v>207</v>
      </c>
      <c r="AS1381" s="27" t="s">
        <v>207</v>
      </c>
      <c r="AT1381" s="27" t="s">
        <v>207</v>
      </c>
      <c r="AU1381" s="30" t="s">
        <v>1843</v>
      </c>
      <c r="AV1381" s="14" t="s">
        <v>207</v>
      </c>
      <c r="AW1381" s="74"/>
      <c r="AX1381" s="17" t="s">
        <v>13501</v>
      </c>
      <c r="AY1381" s="17" t="s">
        <v>101</v>
      </c>
    </row>
    <row r="1382" spans="1:51" ht="12.75" customHeight="1" x14ac:dyDescent="0.25">
      <c r="A1382" s="5">
        <v>1298</v>
      </c>
      <c r="B1382" s="9">
        <v>1298</v>
      </c>
      <c r="C1382" s="9" t="s">
        <v>16028</v>
      </c>
      <c r="D1382" s="57" t="str">
        <f>HYPERLINK("http://prodenv.dep.state.fl.us/DepNexus/public/electronic-documents/OG_1298/facility!search","OG_1298_Docs")</f>
        <v>OG_1298_Docs</v>
      </c>
      <c r="E1382" s="57" t="str">
        <f>HYPERLINK("https://ca.dep.state.fl.us/mapdirect/?focus=oilandgas&amp;zoom=query&amp;querytype=oilandgas&amp;queryvalues=OG_1298","OG_1298_Map")</f>
        <v>OG_1298_Map</v>
      </c>
      <c r="F1382" s="1" t="s">
        <v>8909</v>
      </c>
      <c r="G1382" s="1" t="s">
        <v>79</v>
      </c>
      <c r="H1382" s="1" t="s">
        <v>909</v>
      </c>
      <c r="I1382" s="1" t="s">
        <v>16029</v>
      </c>
      <c r="J1382" s="17" t="s">
        <v>207</v>
      </c>
      <c r="K1382" s="17" t="s">
        <v>13501</v>
      </c>
      <c r="L1382" s="17"/>
      <c r="M1382" s="17" t="s">
        <v>207</v>
      </c>
      <c r="N1382" s="52"/>
      <c r="O1382" s="17" t="s">
        <v>13619</v>
      </c>
      <c r="P1382" s="17" t="s">
        <v>16030</v>
      </c>
      <c r="Q1382" s="81" t="s">
        <v>13619</v>
      </c>
      <c r="R1382" s="11">
        <v>29.911106</v>
      </c>
      <c r="S1382" s="11">
        <v>-84.098607000000001</v>
      </c>
      <c r="T1382" s="11" t="s">
        <v>16031</v>
      </c>
      <c r="U1382" s="11" t="s">
        <v>16032</v>
      </c>
      <c r="V1382" s="17" t="s">
        <v>233</v>
      </c>
      <c r="W1382" s="17" t="s">
        <v>207</v>
      </c>
      <c r="X1382" s="70"/>
      <c r="Y1382" s="70"/>
      <c r="Z1382" s="13"/>
      <c r="AA1382" s="26"/>
      <c r="AB1382" s="14"/>
      <c r="AC1382" s="14"/>
      <c r="AD1382" s="70"/>
      <c r="AE1382" s="70"/>
      <c r="AF1382" s="71" t="s">
        <v>207</v>
      </c>
      <c r="AG1382" s="27" t="s">
        <v>207</v>
      </c>
      <c r="AH1382" s="27" t="s">
        <v>207</v>
      </c>
      <c r="AI1382" s="71" t="s">
        <v>207</v>
      </c>
      <c r="AJ1382" s="27" t="s">
        <v>207</v>
      </c>
      <c r="AK1382" s="27" t="s">
        <v>207</v>
      </c>
      <c r="AL1382" s="27" t="s">
        <v>207</v>
      </c>
      <c r="AM1382" s="27" t="s">
        <v>207</v>
      </c>
      <c r="AN1382" s="27" t="s">
        <v>207</v>
      </c>
      <c r="AO1382" s="27" t="s">
        <v>207</v>
      </c>
      <c r="AP1382" s="27" t="s">
        <v>207</v>
      </c>
      <c r="AQ1382" s="27" t="s">
        <v>207</v>
      </c>
      <c r="AR1382" s="27" t="s">
        <v>207</v>
      </c>
      <c r="AS1382" s="27" t="s">
        <v>207</v>
      </c>
      <c r="AT1382" s="27" t="s">
        <v>207</v>
      </c>
      <c r="AU1382" s="30" t="s">
        <v>1843</v>
      </c>
      <c r="AV1382" s="14" t="s">
        <v>207</v>
      </c>
      <c r="AW1382" s="74"/>
      <c r="AX1382" s="17" t="s">
        <v>13501</v>
      </c>
      <c r="AY1382" s="17" t="s">
        <v>101</v>
      </c>
    </row>
    <row r="1383" spans="1:51" ht="12.75" customHeight="1" x14ac:dyDescent="0.25">
      <c r="A1383" s="5">
        <v>1299</v>
      </c>
      <c r="B1383" s="9">
        <v>1299</v>
      </c>
      <c r="C1383" s="9" t="s">
        <v>16033</v>
      </c>
      <c r="D1383" s="57" t="str">
        <f>HYPERLINK("http://prodenv.dep.state.fl.us/DepNexus/public/electronic-documents/OG_1299/facility!search","OG_1299_Docs")</f>
        <v>OG_1299_Docs</v>
      </c>
      <c r="E1383" s="57" t="str">
        <f>HYPERLINK("https://ca.dep.state.fl.us/mapdirect/?focus=oilandgas&amp;zoom=query&amp;querytype=oilandgas&amp;queryvalues=OG_1299","OG_1299_Map")</f>
        <v>OG_1299_Map</v>
      </c>
      <c r="F1383" s="1" t="s">
        <v>1151</v>
      </c>
      <c r="G1383" s="1" t="s">
        <v>79</v>
      </c>
      <c r="H1383" s="1" t="s">
        <v>909</v>
      </c>
      <c r="I1383" s="1" t="s">
        <v>16034</v>
      </c>
      <c r="J1383" s="17" t="s">
        <v>207</v>
      </c>
      <c r="K1383" s="17" t="s">
        <v>13501</v>
      </c>
      <c r="L1383" s="17"/>
      <c r="M1383" s="17" t="s">
        <v>207</v>
      </c>
      <c r="N1383" s="52"/>
      <c r="O1383" s="17" t="s">
        <v>13619</v>
      </c>
      <c r="P1383" s="17" t="s">
        <v>16030</v>
      </c>
      <c r="Q1383" s="81" t="s">
        <v>13619</v>
      </c>
      <c r="R1383" s="11">
        <v>29.691661</v>
      </c>
      <c r="S1383" s="11">
        <v>-83.708330000000004</v>
      </c>
      <c r="T1383" s="11" t="s">
        <v>16035</v>
      </c>
      <c r="U1383" s="11" t="s">
        <v>16036</v>
      </c>
      <c r="V1383" s="17" t="s">
        <v>233</v>
      </c>
      <c r="W1383" s="17" t="s">
        <v>207</v>
      </c>
      <c r="X1383" s="70"/>
      <c r="Y1383" s="70"/>
      <c r="Z1383" s="13"/>
      <c r="AA1383" s="26"/>
      <c r="AB1383" s="14"/>
      <c r="AC1383" s="14"/>
      <c r="AD1383" s="70"/>
      <c r="AE1383" s="70"/>
      <c r="AF1383" s="71" t="s">
        <v>207</v>
      </c>
      <c r="AG1383" s="27" t="s">
        <v>207</v>
      </c>
      <c r="AH1383" s="27" t="s">
        <v>207</v>
      </c>
      <c r="AI1383" s="71" t="s">
        <v>207</v>
      </c>
      <c r="AJ1383" s="27" t="s">
        <v>207</v>
      </c>
      <c r="AK1383" s="27" t="s">
        <v>207</v>
      </c>
      <c r="AL1383" s="27" t="s">
        <v>207</v>
      </c>
      <c r="AM1383" s="27" t="s">
        <v>207</v>
      </c>
      <c r="AN1383" s="27" t="s">
        <v>207</v>
      </c>
      <c r="AO1383" s="27" t="s">
        <v>207</v>
      </c>
      <c r="AP1383" s="27" t="s">
        <v>207</v>
      </c>
      <c r="AQ1383" s="27" t="s">
        <v>207</v>
      </c>
      <c r="AR1383" s="27" t="s">
        <v>207</v>
      </c>
      <c r="AS1383" s="27" t="s">
        <v>207</v>
      </c>
      <c r="AT1383" s="27" t="s">
        <v>207</v>
      </c>
      <c r="AU1383" s="30" t="s">
        <v>1843</v>
      </c>
      <c r="AV1383" s="14" t="s">
        <v>207</v>
      </c>
      <c r="AW1383" s="74"/>
      <c r="AX1383" s="17" t="s">
        <v>13501</v>
      </c>
      <c r="AY1383" s="17" t="s">
        <v>101</v>
      </c>
    </row>
    <row r="1384" spans="1:51" ht="12.75" customHeight="1" x14ac:dyDescent="0.25">
      <c r="A1384" s="5">
        <v>1300</v>
      </c>
      <c r="B1384" s="9">
        <v>1300</v>
      </c>
      <c r="C1384" s="9" t="s">
        <v>16037</v>
      </c>
      <c r="D1384" s="57" t="str">
        <f>HYPERLINK("http://prodenv.dep.state.fl.us/DepNexus/public/electronic-documents/OG_1300/facility!search","OG_1300_Docs")</f>
        <v>OG_1300_Docs</v>
      </c>
      <c r="E1384" s="57" t="str">
        <f>HYPERLINK("https://ca.dep.state.fl.us/mapdirect/?focus=oilandgas&amp;zoom=query&amp;querytype=oilandgas&amp;queryvalues=OG_1300","OG_1300_Map")</f>
        <v>OG_1300_Map</v>
      </c>
      <c r="F1384" s="1" t="s">
        <v>2354</v>
      </c>
      <c r="G1384" s="1" t="s">
        <v>79</v>
      </c>
      <c r="H1384" s="1" t="s">
        <v>909</v>
      </c>
      <c r="I1384" s="1" t="s">
        <v>16038</v>
      </c>
      <c r="J1384" s="17" t="s">
        <v>207</v>
      </c>
      <c r="K1384" s="17" t="s">
        <v>13501</v>
      </c>
      <c r="L1384" s="17"/>
      <c r="M1384" s="17" t="s">
        <v>207</v>
      </c>
      <c r="N1384" s="52"/>
      <c r="O1384" s="17" t="s">
        <v>13619</v>
      </c>
      <c r="P1384" s="17" t="s">
        <v>86</v>
      </c>
      <c r="Q1384" s="81" t="s">
        <v>13619</v>
      </c>
      <c r="R1384" s="11">
        <v>28.229161000000001</v>
      </c>
      <c r="S1384" s="11">
        <v>-82.983329999999995</v>
      </c>
      <c r="T1384" s="11" t="s">
        <v>16039</v>
      </c>
      <c r="U1384" s="11" t="s">
        <v>16040</v>
      </c>
      <c r="V1384" s="17" t="s">
        <v>233</v>
      </c>
      <c r="W1384" s="17" t="s">
        <v>207</v>
      </c>
      <c r="X1384" s="70"/>
      <c r="Y1384" s="70"/>
      <c r="Z1384" s="13"/>
      <c r="AA1384" s="26"/>
      <c r="AB1384" s="14"/>
      <c r="AC1384" s="14"/>
      <c r="AD1384" s="70"/>
      <c r="AE1384" s="70"/>
      <c r="AF1384" s="71" t="s">
        <v>207</v>
      </c>
      <c r="AG1384" s="27" t="s">
        <v>207</v>
      </c>
      <c r="AH1384" s="27" t="s">
        <v>207</v>
      </c>
      <c r="AI1384" s="71" t="s">
        <v>207</v>
      </c>
      <c r="AJ1384" s="27" t="s">
        <v>207</v>
      </c>
      <c r="AK1384" s="27" t="s">
        <v>207</v>
      </c>
      <c r="AL1384" s="27" t="s">
        <v>207</v>
      </c>
      <c r="AM1384" s="27" t="s">
        <v>207</v>
      </c>
      <c r="AN1384" s="27" t="s">
        <v>207</v>
      </c>
      <c r="AO1384" s="27" t="s">
        <v>207</v>
      </c>
      <c r="AP1384" s="27" t="s">
        <v>207</v>
      </c>
      <c r="AQ1384" s="27" t="s">
        <v>207</v>
      </c>
      <c r="AR1384" s="27" t="s">
        <v>207</v>
      </c>
      <c r="AS1384" s="27" t="s">
        <v>207</v>
      </c>
      <c r="AT1384" s="27" t="s">
        <v>207</v>
      </c>
      <c r="AU1384" s="30" t="s">
        <v>1843</v>
      </c>
      <c r="AV1384" s="14" t="s">
        <v>207</v>
      </c>
      <c r="AW1384" s="74"/>
      <c r="AX1384" s="17" t="s">
        <v>13501</v>
      </c>
      <c r="AY1384" s="17" t="s">
        <v>101</v>
      </c>
    </row>
    <row r="1385" spans="1:51" ht="12.75" customHeight="1" x14ac:dyDescent="0.25">
      <c r="A1385" s="5">
        <v>1301</v>
      </c>
      <c r="B1385" s="9">
        <v>1301</v>
      </c>
      <c r="C1385" s="9" t="s">
        <v>16041</v>
      </c>
      <c r="D1385" s="57" t="str">
        <f>HYPERLINK("http://prodenv.dep.state.fl.us/DepNexus/public/electronic-documents/OG_1301/facility!search","OG_1301_Docs")</f>
        <v>OG_1301_Docs</v>
      </c>
      <c r="E1385" s="57" t="str">
        <f>HYPERLINK("https://ca.dep.state.fl.us/mapdirect/?focus=oilandgas&amp;zoom=query&amp;querytype=oilandgas&amp;queryvalues=OG_1301","OG_1301_Map")</f>
        <v>OG_1301_Map</v>
      </c>
      <c r="F1385" s="1" t="s">
        <v>1012</v>
      </c>
      <c r="G1385" s="1" t="s">
        <v>79</v>
      </c>
      <c r="H1385" s="1" t="s">
        <v>909</v>
      </c>
      <c r="I1385" s="1" t="s">
        <v>16042</v>
      </c>
      <c r="J1385" s="17" t="s">
        <v>207</v>
      </c>
      <c r="K1385" s="17" t="s">
        <v>13501</v>
      </c>
      <c r="L1385" s="17"/>
      <c r="M1385" s="17" t="s">
        <v>207</v>
      </c>
      <c r="N1385" s="52"/>
      <c r="O1385" s="17" t="s">
        <v>609</v>
      </c>
      <c r="P1385" s="17" t="s">
        <v>86</v>
      </c>
      <c r="Q1385" s="81" t="s">
        <v>13619</v>
      </c>
      <c r="R1385" s="11">
        <v>28.10277</v>
      </c>
      <c r="S1385" s="11">
        <v>-82.9833</v>
      </c>
      <c r="T1385" s="11" t="s">
        <v>16043</v>
      </c>
      <c r="U1385" s="11" t="s">
        <v>16044</v>
      </c>
      <c r="V1385" s="17" t="s">
        <v>233</v>
      </c>
      <c r="W1385" s="17" t="s">
        <v>207</v>
      </c>
      <c r="X1385" s="70"/>
      <c r="Y1385" s="70"/>
      <c r="Z1385" s="13"/>
      <c r="AA1385" s="26"/>
      <c r="AB1385" s="14"/>
      <c r="AC1385" s="14"/>
      <c r="AD1385" s="70"/>
      <c r="AE1385" s="70"/>
      <c r="AF1385" s="71" t="s">
        <v>207</v>
      </c>
      <c r="AG1385" s="27" t="s">
        <v>207</v>
      </c>
      <c r="AH1385" s="27" t="s">
        <v>207</v>
      </c>
      <c r="AI1385" s="71" t="s">
        <v>207</v>
      </c>
      <c r="AJ1385" s="27" t="s">
        <v>207</v>
      </c>
      <c r="AK1385" s="27" t="s">
        <v>207</v>
      </c>
      <c r="AL1385" s="27" t="s">
        <v>207</v>
      </c>
      <c r="AM1385" s="27" t="s">
        <v>207</v>
      </c>
      <c r="AN1385" s="27" t="s">
        <v>207</v>
      </c>
      <c r="AO1385" s="27" t="s">
        <v>207</v>
      </c>
      <c r="AP1385" s="27" t="s">
        <v>207</v>
      </c>
      <c r="AQ1385" s="27" t="s">
        <v>207</v>
      </c>
      <c r="AR1385" s="27" t="s">
        <v>207</v>
      </c>
      <c r="AS1385" s="27" t="s">
        <v>207</v>
      </c>
      <c r="AT1385" s="27" t="s">
        <v>207</v>
      </c>
      <c r="AU1385" s="30" t="s">
        <v>1843</v>
      </c>
      <c r="AV1385" s="14" t="s">
        <v>207</v>
      </c>
      <c r="AW1385" s="74"/>
      <c r="AX1385" s="17" t="s">
        <v>13501</v>
      </c>
      <c r="AY1385" s="17" t="s">
        <v>101</v>
      </c>
    </row>
    <row r="1386" spans="1:51" ht="12.75" customHeight="1" x14ac:dyDescent="0.25">
      <c r="A1386" s="5">
        <v>1302</v>
      </c>
      <c r="B1386" s="9">
        <v>1302</v>
      </c>
      <c r="C1386" s="9" t="s">
        <v>16045</v>
      </c>
      <c r="D1386" s="57" t="str">
        <f>HYPERLINK("http://prodenv.dep.state.fl.us/DepNexus/public/electronic-documents/OG_1302/facility!search","OG_1302_Docs")</f>
        <v>OG_1302_Docs</v>
      </c>
      <c r="E1386" s="57" t="str">
        <f>HYPERLINK("https://ca.dep.state.fl.us/mapdirect/?focus=oilandgas&amp;zoom=query&amp;querytype=oilandgas&amp;queryvalues=OG_1302","OG_1302_Map")</f>
        <v>OG_1302_Map</v>
      </c>
      <c r="F1386" s="1" t="s">
        <v>15823</v>
      </c>
      <c r="G1386" s="1" t="s">
        <v>79</v>
      </c>
      <c r="H1386" s="1" t="s">
        <v>909</v>
      </c>
      <c r="I1386" s="1" t="s">
        <v>16046</v>
      </c>
      <c r="J1386" s="17" t="s">
        <v>207</v>
      </c>
      <c r="K1386" s="17" t="s">
        <v>13501</v>
      </c>
      <c r="L1386" s="17"/>
      <c r="M1386" s="17" t="s">
        <v>207</v>
      </c>
      <c r="N1386" s="52"/>
      <c r="O1386" s="17" t="s">
        <v>13619</v>
      </c>
      <c r="P1386" s="17" t="s">
        <v>86</v>
      </c>
      <c r="Q1386" s="81" t="s">
        <v>13619</v>
      </c>
      <c r="R1386" s="11">
        <v>27.374994999999998</v>
      </c>
      <c r="S1386" s="11">
        <v>-82.821107999999995</v>
      </c>
      <c r="T1386" s="11" t="s">
        <v>16047</v>
      </c>
      <c r="U1386" s="11" t="s">
        <v>16048</v>
      </c>
      <c r="V1386" s="17" t="s">
        <v>233</v>
      </c>
      <c r="W1386" s="17" t="s">
        <v>207</v>
      </c>
      <c r="X1386" s="70"/>
      <c r="Y1386" s="70"/>
      <c r="Z1386" s="13"/>
      <c r="AA1386" s="26"/>
      <c r="AB1386" s="14"/>
      <c r="AC1386" s="14"/>
      <c r="AD1386" s="70"/>
      <c r="AE1386" s="70"/>
      <c r="AF1386" s="71" t="s">
        <v>207</v>
      </c>
      <c r="AG1386" s="27" t="s">
        <v>207</v>
      </c>
      <c r="AH1386" s="27" t="s">
        <v>207</v>
      </c>
      <c r="AI1386" s="71" t="s">
        <v>207</v>
      </c>
      <c r="AJ1386" s="27" t="s">
        <v>207</v>
      </c>
      <c r="AK1386" s="27" t="s">
        <v>207</v>
      </c>
      <c r="AL1386" s="27" t="s">
        <v>207</v>
      </c>
      <c r="AM1386" s="27" t="s">
        <v>207</v>
      </c>
      <c r="AN1386" s="27" t="s">
        <v>207</v>
      </c>
      <c r="AO1386" s="27" t="s">
        <v>207</v>
      </c>
      <c r="AP1386" s="27" t="s">
        <v>207</v>
      </c>
      <c r="AQ1386" s="27" t="s">
        <v>207</v>
      </c>
      <c r="AR1386" s="27" t="s">
        <v>207</v>
      </c>
      <c r="AS1386" s="27" t="s">
        <v>207</v>
      </c>
      <c r="AT1386" s="27" t="s">
        <v>207</v>
      </c>
      <c r="AU1386" s="30" t="s">
        <v>1843</v>
      </c>
      <c r="AV1386" s="14" t="s">
        <v>207</v>
      </c>
      <c r="AW1386" s="74"/>
      <c r="AX1386" s="17" t="s">
        <v>13501</v>
      </c>
      <c r="AY1386" s="17" t="s">
        <v>101</v>
      </c>
    </row>
    <row r="1387" spans="1:51" ht="12.75" customHeight="1" x14ac:dyDescent="0.25">
      <c r="A1387" s="5">
        <v>1303</v>
      </c>
      <c r="B1387" s="9">
        <v>1303</v>
      </c>
      <c r="C1387" s="9" t="s">
        <v>16049</v>
      </c>
      <c r="D1387" s="57" t="str">
        <f>HYPERLINK("http://prodenv.dep.state.fl.us/DepNexus/public/electronic-documents/OG_1303/facility!search","OG_1303_Docs")</f>
        <v>OG_1303_Docs</v>
      </c>
      <c r="E1387" s="57" t="str">
        <f>HYPERLINK("https://ca.dep.state.fl.us/mapdirect/?focus=oilandgas&amp;zoom=query&amp;querytype=oilandgas&amp;queryvalues=OG_1303","OG_1303_Map")</f>
        <v>OG_1303_Map</v>
      </c>
      <c r="F1387" s="1" t="s">
        <v>2222</v>
      </c>
      <c r="G1387" s="1" t="s">
        <v>79</v>
      </c>
      <c r="H1387" s="1" t="s">
        <v>909</v>
      </c>
      <c r="I1387" s="1" t="s">
        <v>16050</v>
      </c>
      <c r="J1387" s="17" t="s">
        <v>207</v>
      </c>
      <c r="K1387" s="17" t="s">
        <v>13501</v>
      </c>
      <c r="L1387" s="17"/>
      <c r="M1387" s="17" t="s">
        <v>207</v>
      </c>
      <c r="N1387" s="52"/>
      <c r="O1387" s="17" t="s">
        <v>609</v>
      </c>
      <c r="P1387" s="17" t="s">
        <v>86</v>
      </c>
      <c r="Q1387" s="81" t="s">
        <v>13619</v>
      </c>
      <c r="R1387" s="11">
        <v>26.933327999999999</v>
      </c>
      <c r="S1387" s="11">
        <v>-82.530829999999995</v>
      </c>
      <c r="T1387" s="11" t="s">
        <v>16051</v>
      </c>
      <c r="U1387" s="11" t="s">
        <v>16052</v>
      </c>
      <c r="V1387" s="17" t="s">
        <v>233</v>
      </c>
      <c r="W1387" s="17" t="s">
        <v>207</v>
      </c>
      <c r="X1387" s="70"/>
      <c r="Y1387" s="70"/>
      <c r="Z1387" s="13"/>
      <c r="AA1387" s="26"/>
      <c r="AB1387" s="14"/>
      <c r="AC1387" s="14"/>
      <c r="AD1387" s="70"/>
      <c r="AE1387" s="70"/>
      <c r="AF1387" s="71" t="s">
        <v>207</v>
      </c>
      <c r="AG1387" s="27" t="s">
        <v>207</v>
      </c>
      <c r="AH1387" s="27" t="s">
        <v>207</v>
      </c>
      <c r="AI1387" s="71" t="s">
        <v>207</v>
      </c>
      <c r="AJ1387" s="27" t="s">
        <v>207</v>
      </c>
      <c r="AK1387" s="27" t="s">
        <v>207</v>
      </c>
      <c r="AL1387" s="27" t="s">
        <v>207</v>
      </c>
      <c r="AM1387" s="27" t="s">
        <v>207</v>
      </c>
      <c r="AN1387" s="27" t="s">
        <v>207</v>
      </c>
      <c r="AO1387" s="27" t="s">
        <v>207</v>
      </c>
      <c r="AP1387" s="27" t="s">
        <v>207</v>
      </c>
      <c r="AQ1387" s="27" t="s">
        <v>207</v>
      </c>
      <c r="AR1387" s="27" t="s">
        <v>207</v>
      </c>
      <c r="AS1387" s="27" t="s">
        <v>207</v>
      </c>
      <c r="AT1387" s="27" t="s">
        <v>207</v>
      </c>
      <c r="AU1387" s="30" t="s">
        <v>1843</v>
      </c>
      <c r="AV1387" s="14" t="s">
        <v>207</v>
      </c>
      <c r="AW1387" s="74"/>
      <c r="AX1387" s="17" t="s">
        <v>13501</v>
      </c>
      <c r="AY1387" s="17" t="s">
        <v>101</v>
      </c>
    </row>
    <row r="1388" spans="1:51" ht="12.75" customHeight="1" x14ac:dyDescent="0.25">
      <c r="A1388" s="5">
        <v>1304</v>
      </c>
      <c r="B1388" s="9">
        <v>1304</v>
      </c>
      <c r="C1388" s="9" t="s">
        <v>16053</v>
      </c>
      <c r="D1388" s="57" t="str">
        <f>HYPERLINK("http://prodenv.dep.state.fl.us/DepNexus/public/electronic-documents/OG_1304/facility!search","OG_1304_Docs")</f>
        <v>OG_1304_Docs</v>
      </c>
      <c r="E1388" s="57" t="str">
        <f>HYPERLINK("https://ca.dep.state.fl.us/mapdirect/?focus=oilandgas&amp;zoom=query&amp;querytype=oilandgas&amp;queryvalues=OG_1304","OG_1304_Map")</f>
        <v>OG_1304_Map</v>
      </c>
      <c r="F1388" s="1" t="s">
        <v>2222</v>
      </c>
      <c r="G1388" s="1" t="s">
        <v>79</v>
      </c>
      <c r="H1388" s="1" t="s">
        <v>909</v>
      </c>
      <c r="I1388" s="1" t="s">
        <v>16054</v>
      </c>
      <c r="J1388" s="17" t="s">
        <v>207</v>
      </c>
      <c r="K1388" s="17" t="s">
        <v>13501</v>
      </c>
      <c r="L1388" s="17"/>
      <c r="M1388" s="17" t="s">
        <v>207</v>
      </c>
      <c r="N1388" s="52"/>
      <c r="O1388" s="17" t="s">
        <v>13619</v>
      </c>
      <c r="P1388" s="17" t="s">
        <v>86</v>
      </c>
      <c r="Q1388" s="81" t="s">
        <v>13619</v>
      </c>
      <c r="R1388" s="11">
        <v>26.799994999999999</v>
      </c>
      <c r="S1388" s="11">
        <v>-82.439162999999994</v>
      </c>
      <c r="T1388" s="11" t="s">
        <v>16055</v>
      </c>
      <c r="U1388" s="11" t="s">
        <v>16056</v>
      </c>
      <c r="V1388" s="17" t="s">
        <v>233</v>
      </c>
      <c r="W1388" s="17" t="s">
        <v>207</v>
      </c>
      <c r="X1388" s="70"/>
      <c r="Y1388" s="70"/>
      <c r="Z1388" s="13"/>
      <c r="AA1388" s="26"/>
      <c r="AB1388" s="14"/>
      <c r="AC1388" s="14"/>
      <c r="AD1388" s="70"/>
      <c r="AE1388" s="70"/>
      <c r="AF1388" s="71" t="s">
        <v>207</v>
      </c>
      <c r="AG1388" s="27" t="s">
        <v>207</v>
      </c>
      <c r="AH1388" s="27" t="s">
        <v>207</v>
      </c>
      <c r="AI1388" s="71" t="s">
        <v>207</v>
      </c>
      <c r="AJ1388" s="27" t="s">
        <v>207</v>
      </c>
      <c r="AK1388" s="27" t="s">
        <v>207</v>
      </c>
      <c r="AL1388" s="27" t="s">
        <v>207</v>
      </c>
      <c r="AM1388" s="27" t="s">
        <v>207</v>
      </c>
      <c r="AN1388" s="27" t="s">
        <v>207</v>
      </c>
      <c r="AO1388" s="27" t="s">
        <v>207</v>
      </c>
      <c r="AP1388" s="27" t="s">
        <v>207</v>
      </c>
      <c r="AQ1388" s="27" t="s">
        <v>207</v>
      </c>
      <c r="AR1388" s="27" t="s">
        <v>207</v>
      </c>
      <c r="AS1388" s="27" t="s">
        <v>207</v>
      </c>
      <c r="AT1388" s="27" t="s">
        <v>207</v>
      </c>
      <c r="AU1388" s="30" t="s">
        <v>1843</v>
      </c>
      <c r="AV1388" s="14" t="s">
        <v>207</v>
      </c>
      <c r="AW1388" s="74"/>
      <c r="AX1388" s="17" t="s">
        <v>13501</v>
      </c>
      <c r="AY1388" s="17" t="s">
        <v>101</v>
      </c>
    </row>
    <row r="1389" spans="1:51" ht="12.75" customHeight="1" x14ac:dyDescent="0.25">
      <c r="A1389" s="5">
        <v>1305</v>
      </c>
      <c r="B1389" s="9">
        <v>1305</v>
      </c>
      <c r="C1389" s="9" t="s">
        <v>16057</v>
      </c>
      <c r="D1389" s="57" t="str">
        <f>HYPERLINK("http://prodenv.dep.state.fl.us/DepNexus/public/electronic-documents/OG_1305/facility!search","OG_1305_Docs")</f>
        <v>OG_1305_Docs</v>
      </c>
      <c r="E1389" s="57" t="str">
        <f>HYPERLINK("https://ca.dep.state.fl.us/mapdirect/?focus=oilandgas&amp;zoom=query&amp;querytype=oilandgas&amp;queryvalues=OG_1305","OG_1305_Map")</f>
        <v>OG_1305_Map</v>
      </c>
      <c r="F1389" s="1" t="s">
        <v>2026</v>
      </c>
      <c r="G1389" s="1" t="s">
        <v>79</v>
      </c>
      <c r="H1389" s="1" t="s">
        <v>909</v>
      </c>
      <c r="I1389" s="1" t="s">
        <v>16058</v>
      </c>
      <c r="J1389" s="17" t="s">
        <v>207</v>
      </c>
      <c r="K1389" s="17" t="s">
        <v>13501</v>
      </c>
      <c r="L1389" s="17"/>
      <c r="M1389" s="17" t="s">
        <v>207</v>
      </c>
      <c r="N1389" s="52"/>
      <c r="O1389" s="17" t="s">
        <v>13619</v>
      </c>
      <c r="P1389" s="17" t="s">
        <v>86</v>
      </c>
      <c r="Q1389" s="81" t="s">
        <v>13619</v>
      </c>
      <c r="R1389" s="11">
        <v>26.761106000000002</v>
      </c>
      <c r="S1389" s="11">
        <v>-82.415552000000005</v>
      </c>
      <c r="T1389" s="11" t="s">
        <v>16059</v>
      </c>
      <c r="U1389" s="11" t="s">
        <v>16060</v>
      </c>
      <c r="V1389" s="17" t="s">
        <v>233</v>
      </c>
      <c r="W1389" s="17" t="s">
        <v>207</v>
      </c>
      <c r="X1389" s="70"/>
      <c r="Y1389" s="70"/>
      <c r="Z1389" s="13"/>
      <c r="AA1389" s="26"/>
      <c r="AB1389" s="14"/>
      <c r="AC1389" s="14"/>
      <c r="AD1389" s="70"/>
      <c r="AE1389" s="70"/>
      <c r="AF1389" s="71" t="s">
        <v>207</v>
      </c>
      <c r="AG1389" s="27" t="s">
        <v>207</v>
      </c>
      <c r="AH1389" s="27" t="s">
        <v>207</v>
      </c>
      <c r="AI1389" s="71" t="s">
        <v>207</v>
      </c>
      <c r="AJ1389" s="27" t="s">
        <v>207</v>
      </c>
      <c r="AK1389" s="27" t="s">
        <v>207</v>
      </c>
      <c r="AL1389" s="27" t="s">
        <v>207</v>
      </c>
      <c r="AM1389" s="27" t="s">
        <v>207</v>
      </c>
      <c r="AN1389" s="27" t="s">
        <v>207</v>
      </c>
      <c r="AO1389" s="27" t="s">
        <v>207</v>
      </c>
      <c r="AP1389" s="27" t="s">
        <v>207</v>
      </c>
      <c r="AQ1389" s="27" t="s">
        <v>207</v>
      </c>
      <c r="AR1389" s="27" t="s">
        <v>207</v>
      </c>
      <c r="AS1389" s="27" t="s">
        <v>207</v>
      </c>
      <c r="AT1389" s="27" t="s">
        <v>207</v>
      </c>
      <c r="AU1389" s="30" t="s">
        <v>1843</v>
      </c>
      <c r="AV1389" s="14" t="s">
        <v>207</v>
      </c>
      <c r="AW1389" s="74"/>
      <c r="AX1389" s="17" t="s">
        <v>13501</v>
      </c>
      <c r="AY1389" s="17" t="s">
        <v>101</v>
      </c>
    </row>
    <row r="1390" spans="1:51" ht="12.75" customHeight="1" x14ac:dyDescent="0.25">
      <c r="A1390" s="5">
        <v>1306</v>
      </c>
      <c r="B1390" s="9">
        <v>1306</v>
      </c>
      <c r="C1390" s="9" t="s">
        <v>16061</v>
      </c>
      <c r="D1390" s="57" t="str">
        <f>HYPERLINK("http://prodenv.dep.state.fl.us/DepNexus/public/electronic-documents/OG_1306/facility!search","OG_1306_Docs")</f>
        <v>OG_1306_Docs</v>
      </c>
      <c r="E1390" s="57" t="str">
        <f>HYPERLINK("https://ca.dep.state.fl.us/mapdirect/?focus=oilandgas&amp;zoom=query&amp;querytype=oilandgas&amp;queryvalues=OG_1306","OG_1306_Map")</f>
        <v>OG_1306_Map</v>
      </c>
      <c r="F1390" s="1" t="s">
        <v>2026</v>
      </c>
      <c r="G1390" s="1" t="s">
        <v>79</v>
      </c>
      <c r="H1390" s="1" t="s">
        <v>909</v>
      </c>
      <c r="I1390" s="1" t="s">
        <v>16062</v>
      </c>
      <c r="J1390" s="17" t="s">
        <v>207</v>
      </c>
      <c r="K1390" s="17" t="s">
        <v>13501</v>
      </c>
      <c r="L1390" s="17"/>
      <c r="M1390" s="17" t="s">
        <v>207</v>
      </c>
      <c r="N1390" s="52"/>
      <c r="O1390" s="17" t="s">
        <v>13619</v>
      </c>
      <c r="P1390" s="17" t="s">
        <v>86</v>
      </c>
      <c r="Q1390" s="81" t="s">
        <v>13619</v>
      </c>
      <c r="R1390" s="11">
        <v>26.466661999999999</v>
      </c>
      <c r="S1390" s="11">
        <v>-82.326108000000005</v>
      </c>
      <c r="T1390" s="11" t="s">
        <v>16063</v>
      </c>
      <c r="U1390" s="11" t="s">
        <v>16064</v>
      </c>
      <c r="V1390" s="17" t="s">
        <v>233</v>
      </c>
      <c r="W1390" s="17" t="s">
        <v>207</v>
      </c>
      <c r="X1390" s="70"/>
      <c r="Y1390" s="70"/>
      <c r="Z1390" s="13"/>
      <c r="AA1390" s="26"/>
      <c r="AB1390" s="14"/>
      <c r="AC1390" s="14"/>
      <c r="AD1390" s="70"/>
      <c r="AE1390" s="70"/>
      <c r="AF1390" s="71" t="s">
        <v>207</v>
      </c>
      <c r="AG1390" s="27" t="s">
        <v>207</v>
      </c>
      <c r="AH1390" s="27" t="s">
        <v>207</v>
      </c>
      <c r="AI1390" s="71" t="s">
        <v>207</v>
      </c>
      <c r="AJ1390" s="27" t="s">
        <v>207</v>
      </c>
      <c r="AK1390" s="27" t="s">
        <v>207</v>
      </c>
      <c r="AL1390" s="27" t="s">
        <v>207</v>
      </c>
      <c r="AM1390" s="27" t="s">
        <v>207</v>
      </c>
      <c r="AN1390" s="27" t="s">
        <v>207</v>
      </c>
      <c r="AO1390" s="27" t="s">
        <v>207</v>
      </c>
      <c r="AP1390" s="27" t="s">
        <v>207</v>
      </c>
      <c r="AQ1390" s="27" t="s">
        <v>207</v>
      </c>
      <c r="AR1390" s="27" t="s">
        <v>207</v>
      </c>
      <c r="AS1390" s="27" t="s">
        <v>207</v>
      </c>
      <c r="AT1390" s="27" t="s">
        <v>207</v>
      </c>
      <c r="AU1390" s="30" t="s">
        <v>1843</v>
      </c>
      <c r="AV1390" s="14" t="s">
        <v>207</v>
      </c>
      <c r="AW1390" s="74"/>
      <c r="AX1390" s="17" t="s">
        <v>13501</v>
      </c>
      <c r="AY1390" s="17" t="s">
        <v>101</v>
      </c>
    </row>
    <row r="1391" spans="1:51" ht="12.75" customHeight="1" x14ac:dyDescent="0.25">
      <c r="A1391" s="5">
        <v>1307</v>
      </c>
      <c r="B1391" s="9">
        <v>1307</v>
      </c>
      <c r="C1391" s="9" t="s">
        <v>16065</v>
      </c>
      <c r="D1391" s="57" t="str">
        <f>HYPERLINK("http://prodenv.dep.state.fl.us/DepNexus/public/electronic-documents/OG_1307/facility!search","OG_1307_Docs")</f>
        <v>OG_1307_Docs</v>
      </c>
      <c r="E1391" s="57" t="str">
        <f>HYPERLINK("https://ca.dep.state.fl.us/mapdirect/?focus=oilandgas&amp;zoom=query&amp;querytype=oilandgas&amp;queryvalues=OG_1307","OG_1307_Map")</f>
        <v>OG_1307_Map</v>
      </c>
      <c r="F1391" s="1" t="s">
        <v>265</v>
      </c>
      <c r="G1391" s="1" t="s">
        <v>79</v>
      </c>
      <c r="H1391" s="1" t="s">
        <v>909</v>
      </c>
      <c r="I1391" s="1" t="s">
        <v>16066</v>
      </c>
      <c r="J1391" s="17" t="s">
        <v>207</v>
      </c>
      <c r="K1391" s="17" t="s">
        <v>13501</v>
      </c>
      <c r="L1391" s="17"/>
      <c r="M1391" s="17" t="s">
        <v>207</v>
      </c>
      <c r="N1391" s="52"/>
      <c r="O1391" s="17" t="s">
        <v>609</v>
      </c>
      <c r="P1391" s="17" t="s">
        <v>86</v>
      </c>
      <c r="Q1391" s="81" t="s">
        <v>13619</v>
      </c>
      <c r="R1391" s="11">
        <v>26.033328999999998</v>
      </c>
      <c r="S1391" s="11">
        <v>-81.929163000000003</v>
      </c>
      <c r="T1391" s="11" t="s">
        <v>16067</v>
      </c>
      <c r="U1391" s="11" t="s">
        <v>16068</v>
      </c>
      <c r="V1391" s="17" t="s">
        <v>233</v>
      </c>
      <c r="W1391" s="17" t="s">
        <v>207</v>
      </c>
      <c r="X1391" s="70"/>
      <c r="Y1391" s="70"/>
      <c r="Z1391" s="13"/>
      <c r="AA1391" s="26"/>
      <c r="AB1391" s="14"/>
      <c r="AC1391" s="14"/>
      <c r="AD1391" s="70"/>
      <c r="AE1391" s="70"/>
      <c r="AF1391" s="71" t="s">
        <v>207</v>
      </c>
      <c r="AG1391" s="27" t="s">
        <v>207</v>
      </c>
      <c r="AH1391" s="27" t="s">
        <v>207</v>
      </c>
      <c r="AI1391" s="71" t="s">
        <v>207</v>
      </c>
      <c r="AJ1391" s="27" t="s">
        <v>207</v>
      </c>
      <c r="AK1391" s="27" t="s">
        <v>207</v>
      </c>
      <c r="AL1391" s="27" t="s">
        <v>207</v>
      </c>
      <c r="AM1391" s="27" t="s">
        <v>207</v>
      </c>
      <c r="AN1391" s="27" t="s">
        <v>207</v>
      </c>
      <c r="AO1391" s="27" t="s">
        <v>207</v>
      </c>
      <c r="AP1391" s="27" t="s">
        <v>207</v>
      </c>
      <c r="AQ1391" s="27" t="s">
        <v>207</v>
      </c>
      <c r="AR1391" s="27" t="s">
        <v>207</v>
      </c>
      <c r="AS1391" s="27" t="s">
        <v>207</v>
      </c>
      <c r="AT1391" s="27" t="s">
        <v>207</v>
      </c>
      <c r="AU1391" s="30" t="s">
        <v>1843</v>
      </c>
      <c r="AV1391" s="14" t="s">
        <v>207</v>
      </c>
      <c r="AW1391" s="74"/>
      <c r="AX1391" s="17" t="s">
        <v>13501</v>
      </c>
      <c r="AY1391" s="17" t="s">
        <v>101</v>
      </c>
    </row>
    <row r="1392" spans="1:51" ht="12.75" customHeight="1" x14ac:dyDescent="0.25">
      <c r="A1392" s="5">
        <v>1308</v>
      </c>
      <c r="B1392" s="9" t="s">
        <v>16069</v>
      </c>
      <c r="C1392" s="9" t="s">
        <v>16070</v>
      </c>
      <c r="D1392" s="57" t="str">
        <f>HYPERLINK("http://prodenv.dep.state.fl.us/DepNexus/public/electronic-documents/OG_1308/facility!search","OG_1308_Docs")</f>
        <v>OG_1308_Docs</v>
      </c>
      <c r="E1392" s="57" t="str">
        <f>HYPERLINK("https://ca.dep.state.fl.us/mapdirect/?focus=oilandgas&amp;zoom=query&amp;querytype=oilandgas&amp;queryvalues=OG_1308","OG_1308_Map")</f>
        <v>OG_1308_Map</v>
      </c>
      <c r="F1392" s="1" t="s">
        <v>265</v>
      </c>
      <c r="G1392" s="1" t="s">
        <v>266</v>
      </c>
      <c r="H1392" s="1" t="s">
        <v>15893</v>
      </c>
      <c r="I1392" s="1" t="s">
        <v>16071</v>
      </c>
      <c r="J1392" s="17" t="s">
        <v>207</v>
      </c>
      <c r="K1392" s="17" t="s">
        <v>208</v>
      </c>
      <c r="L1392" s="17"/>
      <c r="M1392" s="17" t="s">
        <v>207</v>
      </c>
      <c r="N1392" s="52"/>
      <c r="O1392" s="17" t="s">
        <v>270</v>
      </c>
      <c r="P1392" s="17" t="s">
        <v>86</v>
      </c>
      <c r="Q1392" s="81" t="s">
        <v>414</v>
      </c>
      <c r="R1392" s="11">
        <v>26.291917000000002</v>
      </c>
      <c r="S1392" s="11">
        <v>-81.35736</v>
      </c>
      <c r="T1392" s="11" t="s">
        <v>16072</v>
      </c>
      <c r="U1392" s="11" t="s">
        <v>16073</v>
      </c>
      <c r="V1392" s="17" t="s">
        <v>16074</v>
      </c>
      <c r="W1392" s="17" t="s">
        <v>207</v>
      </c>
      <c r="X1392" s="70"/>
      <c r="Y1392" s="70"/>
      <c r="Z1392" s="13">
        <v>35600</v>
      </c>
      <c r="AA1392" s="26"/>
      <c r="AB1392" s="14"/>
      <c r="AC1392" s="14"/>
      <c r="AD1392" s="70"/>
      <c r="AE1392" s="70"/>
      <c r="AF1392" s="71" t="s">
        <v>207</v>
      </c>
      <c r="AG1392" s="27" t="s">
        <v>207</v>
      </c>
      <c r="AH1392" s="27" t="s">
        <v>207</v>
      </c>
      <c r="AI1392" s="71" t="s">
        <v>207</v>
      </c>
      <c r="AJ1392" s="27" t="s">
        <v>207</v>
      </c>
      <c r="AK1392" s="27" t="s">
        <v>207</v>
      </c>
      <c r="AL1392" s="27" t="s">
        <v>207</v>
      </c>
      <c r="AM1392" s="27" t="s">
        <v>207</v>
      </c>
      <c r="AN1392" s="27" t="s">
        <v>207</v>
      </c>
      <c r="AO1392" s="27" t="s">
        <v>207</v>
      </c>
      <c r="AP1392" s="27" t="s">
        <v>207</v>
      </c>
      <c r="AQ1392" s="27" t="s">
        <v>207</v>
      </c>
      <c r="AR1392" s="27" t="s">
        <v>207</v>
      </c>
      <c r="AS1392" s="27" t="s">
        <v>207</v>
      </c>
      <c r="AT1392" s="27" t="s">
        <v>207</v>
      </c>
      <c r="AU1392" s="30" t="s">
        <v>1843</v>
      </c>
      <c r="AV1392" s="14" t="s">
        <v>207</v>
      </c>
      <c r="AW1392" s="74"/>
      <c r="AX1392" s="1"/>
      <c r="AY1392" s="17" t="s">
        <v>101</v>
      </c>
    </row>
    <row r="1393" spans="1:51" ht="12.75" customHeight="1" x14ac:dyDescent="0.25">
      <c r="A1393" s="5">
        <v>1309</v>
      </c>
      <c r="B1393" s="9">
        <v>1309</v>
      </c>
      <c r="C1393" s="9" t="s">
        <v>16075</v>
      </c>
      <c r="D1393" s="57" t="str">
        <f>HYPERLINK("http://prodenv.dep.state.fl.us/DepNexus/public/electronic-documents/OG_1309/facility!search","OG_1309_Docs")</f>
        <v>OG_1309_Docs</v>
      </c>
      <c r="E1393" s="57" t="str">
        <f>HYPERLINK("https://ca.dep.state.fl.us/mapdirect/?focus=oilandgas&amp;zoom=query&amp;querytype=oilandgas&amp;queryvalues=OG_1309","OG_1309_Map")</f>
        <v>OG_1309_Map</v>
      </c>
      <c r="F1393" s="1" t="s">
        <v>1752</v>
      </c>
      <c r="G1393" s="1" t="s">
        <v>3668</v>
      </c>
      <c r="H1393" s="1" t="s">
        <v>15893</v>
      </c>
      <c r="I1393" s="1" t="s">
        <v>16076</v>
      </c>
      <c r="J1393" s="17" t="s">
        <v>207</v>
      </c>
      <c r="K1393" s="17" t="s">
        <v>208</v>
      </c>
      <c r="L1393" s="27"/>
      <c r="M1393" s="17" t="s">
        <v>207</v>
      </c>
      <c r="N1393" s="52"/>
      <c r="O1393" s="17" t="s">
        <v>86</v>
      </c>
      <c r="P1393" s="17" t="s">
        <v>86</v>
      </c>
      <c r="Q1393" s="81" t="s">
        <v>3842</v>
      </c>
      <c r="R1393" s="11">
        <v>26.530550999999999</v>
      </c>
      <c r="S1393" s="11">
        <v>-81.437369000000004</v>
      </c>
      <c r="T1393" s="11" t="s">
        <v>16077</v>
      </c>
      <c r="U1393" s="11" t="s">
        <v>16078</v>
      </c>
      <c r="V1393" s="17" t="s">
        <v>16079</v>
      </c>
      <c r="W1393" s="17" t="s">
        <v>207</v>
      </c>
      <c r="X1393" s="70"/>
      <c r="Y1393" s="70"/>
      <c r="Z1393" s="26">
        <v>35710</v>
      </c>
      <c r="AA1393" s="26"/>
      <c r="AB1393" s="14"/>
      <c r="AC1393" s="14"/>
      <c r="AD1393" s="70"/>
      <c r="AE1393" s="70"/>
      <c r="AF1393" s="71" t="s">
        <v>207</v>
      </c>
      <c r="AG1393" s="27" t="s">
        <v>207</v>
      </c>
      <c r="AH1393" s="27" t="s">
        <v>207</v>
      </c>
      <c r="AI1393" s="71" t="s">
        <v>207</v>
      </c>
      <c r="AJ1393" s="27" t="s">
        <v>207</v>
      </c>
      <c r="AK1393" s="27" t="s">
        <v>207</v>
      </c>
      <c r="AL1393" s="27" t="s">
        <v>207</v>
      </c>
      <c r="AM1393" s="27" t="s">
        <v>207</v>
      </c>
      <c r="AN1393" s="27" t="s">
        <v>207</v>
      </c>
      <c r="AO1393" s="27" t="s">
        <v>207</v>
      </c>
      <c r="AP1393" s="27" t="s">
        <v>207</v>
      </c>
      <c r="AQ1393" s="27" t="s">
        <v>207</v>
      </c>
      <c r="AR1393" s="27" t="s">
        <v>207</v>
      </c>
      <c r="AS1393" s="27" t="s">
        <v>207</v>
      </c>
      <c r="AT1393" s="27" t="s">
        <v>207</v>
      </c>
      <c r="AU1393" s="30" t="s">
        <v>1843</v>
      </c>
      <c r="AV1393" s="14" t="s">
        <v>207</v>
      </c>
      <c r="AW1393" s="74"/>
      <c r="AX1393" s="1"/>
      <c r="AY1393" s="17" t="s">
        <v>101</v>
      </c>
    </row>
    <row r="1394" spans="1:51" ht="12.75" customHeight="1" x14ac:dyDescent="0.25">
      <c r="A1394" s="5">
        <v>1310</v>
      </c>
      <c r="B1394" s="9">
        <v>1310</v>
      </c>
      <c r="C1394" s="9" t="s">
        <v>16080</v>
      </c>
      <c r="D1394" s="57" t="str">
        <f>HYPERLINK("http://prodenv.dep.state.fl.us/DepNexus/public/electronic-documents/OG_1310/facility!search","OG_1310_Docs")</f>
        <v>OG_1310_Docs</v>
      </c>
      <c r="E1394" s="57" t="str">
        <f>HYPERLINK("https://ca.dep.state.fl.us/mapdirect/?focus=oilandgas&amp;zoom=query&amp;querytype=oilandgas&amp;queryvalues=OG_1310","OG_1310_Map")</f>
        <v>OG_1310_Map</v>
      </c>
      <c r="F1394" s="1" t="s">
        <v>191</v>
      </c>
      <c r="G1394" s="1" t="s">
        <v>79</v>
      </c>
      <c r="H1394" s="1" t="s">
        <v>909</v>
      </c>
      <c r="I1394" s="1" t="s">
        <v>16081</v>
      </c>
      <c r="J1394" s="17" t="s">
        <v>207</v>
      </c>
      <c r="K1394" s="17" t="s">
        <v>15512</v>
      </c>
      <c r="L1394" s="27"/>
      <c r="M1394" s="17" t="s">
        <v>207</v>
      </c>
      <c r="N1394" s="52"/>
      <c r="O1394" s="17" t="s">
        <v>13619</v>
      </c>
      <c r="P1394" s="17" t="s">
        <v>86</v>
      </c>
      <c r="Q1394" s="81" t="s">
        <v>13619</v>
      </c>
      <c r="R1394" s="11">
        <v>29.504161</v>
      </c>
      <c r="S1394" s="11">
        <v>-84.901939999999996</v>
      </c>
      <c r="T1394" s="11" t="s">
        <v>16082</v>
      </c>
      <c r="U1394" s="11" t="s">
        <v>16083</v>
      </c>
      <c r="V1394" s="17" t="s">
        <v>233</v>
      </c>
      <c r="W1394" s="17" t="s">
        <v>207</v>
      </c>
      <c r="X1394" s="70"/>
      <c r="Y1394" s="70"/>
      <c r="Z1394" s="13"/>
      <c r="AA1394" s="26"/>
      <c r="AB1394" s="14"/>
      <c r="AC1394" s="14"/>
      <c r="AD1394" s="70"/>
      <c r="AE1394" s="70"/>
      <c r="AF1394" s="71" t="s">
        <v>207</v>
      </c>
      <c r="AG1394" s="27" t="s">
        <v>207</v>
      </c>
      <c r="AH1394" s="27" t="s">
        <v>207</v>
      </c>
      <c r="AI1394" s="71" t="s">
        <v>207</v>
      </c>
      <c r="AJ1394" s="27" t="s">
        <v>207</v>
      </c>
      <c r="AK1394" s="27" t="s">
        <v>207</v>
      </c>
      <c r="AL1394" s="27" t="s">
        <v>207</v>
      </c>
      <c r="AM1394" s="27" t="s">
        <v>207</v>
      </c>
      <c r="AN1394" s="27" t="s">
        <v>207</v>
      </c>
      <c r="AO1394" s="27" t="s">
        <v>207</v>
      </c>
      <c r="AP1394" s="27" t="s">
        <v>207</v>
      </c>
      <c r="AQ1394" s="27" t="s">
        <v>207</v>
      </c>
      <c r="AR1394" s="27" t="s">
        <v>207</v>
      </c>
      <c r="AS1394" s="27" t="s">
        <v>207</v>
      </c>
      <c r="AT1394" s="27" t="s">
        <v>207</v>
      </c>
      <c r="AU1394" s="30" t="s">
        <v>1843</v>
      </c>
      <c r="AV1394" s="14" t="s">
        <v>207</v>
      </c>
      <c r="AW1394" s="74"/>
      <c r="AX1394" s="17" t="s">
        <v>15512</v>
      </c>
      <c r="AY1394" s="17" t="s">
        <v>101</v>
      </c>
    </row>
    <row r="1395" spans="1:51" ht="12.75" customHeight="1" x14ac:dyDescent="0.25">
      <c r="A1395" s="5">
        <v>1311</v>
      </c>
      <c r="B1395" s="9">
        <v>1311</v>
      </c>
      <c r="C1395" s="9" t="s">
        <v>16084</v>
      </c>
      <c r="D1395" s="57" t="str">
        <f>HYPERLINK("http://prodenv.dep.state.fl.us/DepNexus/public/electronic-documents/OG_1311/facility!search","OG_1311_Docs")</f>
        <v>OG_1311_Docs</v>
      </c>
      <c r="E1395" s="57" t="str">
        <f>HYPERLINK("https://ca.dep.state.fl.us/mapdirect/?focus=oilandgas&amp;zoom=query&amp;querytype=oilandgas&amp;queryvalues=OG_1311","OG_1311_Map")</f>
        <v>OG_1311_Map</v>
      </c>
      <c r="F1395" s="1" t="s">
        <v>191</v>
      </c>
      <c r="G1395" s="1" t="s">
        <v>79</v>
      </c>
      <c r="H1395" s="1" t="s">
        <v>909</v>
      </c>
      <c r="I1395" s="1" t="s">
        <v>16085</v>
      </c>
      <c r="J1395" s="17" t="s">
        <v>207</v>
      </c>
      <c r="K1395" s="17" t="s">
        <v>15512</v>
      </c>
      <c r="L1395" s="27"/>
      <c r="M1395" s="17" t="s">
        <v>207</v>
      </c>
      <c r="N1395" s="52"/>
      <c r="O1395" s="17" t="s">
        <v>609</v>
      </c>
      <c r="P1395" s="17" t="s">
        <v>86</v>
      </c>
      <c r="Q1395" s="81" t="s">
        <v>13619</v>
      </c>
      <c r="R1395" s="11">
        <v>29.580549999999999</v>
      </c>
      <c r="S1395" s="11">
        <v>-84.740550999999996</v>
      </c>
      <c r="T1395" s="11" t="s">
        <v>16086</v>
      </c>
      <c r="U1395" s="11" t="s">
        <v>16087</v>
      </c>
      <c r="V1395" s="17" t="s">
        <v>233</v>
      </c>
      <c r="W1395" s="17" t="s">
        <v>207</v>
      </c>
      <c r="X1395" s="70"/>
      <c r="Y1395" s="70"/>
      <c r="Z1395" s="13"/>
      <c r="AA1395" s="26"/>
      <c r="AB1395" s="14"/>
      <c r="AC1395" s="14"/>
      <c r="AD1395" s="70"/>
      <c r="AE1395" s="70"/>
      <c r="AF1395" s="71" t="s">
        <v>207</v>
      </c>
      <c r="AG1395" s="27" t="s">
        <v>207</v>
      </c>
      <c r="AH1395" s="27" t="s">
        <v>207</v>
      </c>
      <c r="AI1395" s="71" t="s">
        <v>207</v>
      </c>
      <c r="AJ1395" s="27" t="s">
        <v>207</v>
      </c>
      <c r="AK1395" s="27" t="s">
        <v>207</v>
      </c>
      <c r="AL1395" s="27" t="s">
        <v>207</v>
      </c>
      <c r="AM1395" s="27" t="s">
        <v>207</v>
      </c>
      <c r="AN1395" s="27" t="s">
        <v>207</v>
      </c>
      <c r="AO1395" s="27" t="s">
        <v>207</v>
      </c>
      <c r="AP1395" s="27" t="s">
        <v>207</v>
      </c>
      <c r="AQ1395" s="27" t="s">
        <v>207</v>
      </c>
      <c r="AR1395" s="27" t="s">
        <v>207</v>
      </c>
      <c r="AS1395" s="27" t="s">
        <v>207</v>
      </c>
      <c r="AT1395" s="27" t="s">
        <v>207</v>
      </c>
      <c r="AU1395" s="30" t="s">
        <v>1843</v>
      </c>
      <c r="AV1395" s="14" t="s">
        <v>207</v>
      </c>
      <c r="AW1395" s="74"/>
      <c r="AX1395" s="17" t="s">
        <v>15512</v>
      </c>
      <c r="AY1395" s="17" t="s">
        <v>101</v>
      </c>
    </row>
    <row r="1396" spans="1:51" ht="12.75" customHeight="1" x14ac:dyDescent="0.25">
      <c r="A1396" s="5">
        <v>1312</v>
      </c>
      <c r="B1396" s="9">
        <v>1312</v>
      </c>
      <c r="C1396" s="9" t="s">
        <v>16088</v>
      </c>
      <c r="D1396" s="57" t="str">
        <f>HYPERLINK("http://prodenv.dep.state.fl.us/DepNexus/public/electronic-documents/OG_1312/facility!search","OG_1312_Docs")</f>
        <v>OG_1312_Docs</v>
      </c>
      <c r="E1396" s="57" t="str">
        <f>HYPERLINK("https://ca.dep.state.fl.us/mapdirect/?focus=oilandgas&amp;zoom=query&amp;querytype=oilandgas&amp;queryvalues=OG_1312","OG_1312_Map")</f>
        <v>OG_1312_Map</v>
      </c>
      <c r="F1396" s="1" t="s">
        <v>191</v>
      </c>
      <c r="G1396" s="1" t="s">
        <v>79</v>
      </c>
      <c r="H1396" s="1" t="s">
        <v>909</v>
      </c>
      <c r="I1396" s="1" t="s">
        <v>16089</v>
      </c>
      <c r="J1396" s="17" t="s">
        <v>207</v>
      </c>
      <c r="K1396" s="17" t="s">
        <v>15512</v>
      </c>
      <c r="L1396" s="27"/>
      <c r="M1396" s="17" t="s">
        <v>207</v>
      </c>
      <c r="N1396" s="52"/>
      <c r="O1396" s="17" t="s">
        <v>609</v>
      </c>
      <c r="P1396" s="17" t="s">
        <v>86</v>
      </c>
      <c r="Q1396" s="81" t="s">
        <v>13619</v>
      </c>
      <c r="R1396" s="11">
        <v>29.663882999999998</v>
      </c>
      <c r="S1396" s="11">
        <v>-84.599996000000004</v>
      </c>
      <c r="T1396" s="11" t="s">
        <v>16090</v>
      </c>
      <c r="U1396" s="11" t="s">
        <v>16091</v>
      </c>
      <c r="V1396" s="17" t="s">
        <v>233</v>
      </c>
      <c r="W1396" s="17" t="s">
        <v>207</v>
      </c>
      <c r="X1396" s="70"/>
      <c r="Y1396" s="70"/>
      <c r="Z1396" s="13"/>
      <c r="AA1396" s="26"/>
      <c r="AB1396" s="14"/>
      <c r="AC1396" s="14"/>
      <c r="AD1396" s="70"/>
      <c r="AE1396" s="70"/>
      <c r="AF1396" s="71" t="s">
        <v>207</v>
      </c>
      <c r="AG1396" s="27" t="s">
        <v>207</v>
      </c>
      <c r="AH1396" s="27" t="s">
        <v>207</v>
      </c>
      <c r="AI1396" s="71" t="s">
        <v>207</v>
      </c>
      <c r="AJ1396" s="27" t="s">
        <v>207</v>
      </c>
      <c r="AK1396" s="27" t="s">
        <v>207</v>
      </c>
      <c r="AL1396" s="27" t="s">
        <v>207</v>
      </c>
      <c r="AM1396" s="27" t="s">
        <v>207</v>
      </c>
      <c r="AN1396" s="27" t="s">
        <v>207</v>
      </c>
      <c r="AO1396" s="27" t="s">
        <v>207</v>
      </c>
      <c r="AP1396" s="27" t="s">
        <v>207</v>
      </c>
      <c r="AQ1396" s="27" t="s">
        <v>207</v>
      </c>
      <c r="AR1396" s="27" t="s">
        <v>207</v>
      </c>
      <c r="AS1396" s="27" t="s">
        <v>207</v>
      </c>
      <c r="AT1396" s="27" t="s">
        <v>207</v>
      </c>
      <c r="AU1396" s="30" t="s">
        <v>1843</v>
      </c>
      <c r="AV1396" s="14" t="s">
        <v>207</v>
      </c>
      <c r="AW1396" s="74"/>
      <c r="AX1396" s="17" t="s">
        <v>15512</v>
      </c>
      <c r="AY1396" s="17" t="s">
        <v>101</v>
      </c>
    </row>
    <row r="1397" spans="1:51" ht="12.75" customHeight="1" x14ac:dyDescent="0.25">
      <c r="A1397" s="5">
        <v>1313</v>
      </c>
      <c r="B1397" s="9">
        <v>1313</v>
      </c>
      <c r="C1397" s="9" t="s">
        <v>16092</v>
      </c>
      <c r="D1397" s="57" t="str">
        <f>HYPERLINK("http://prodenv.dep.state.fl.us/DepNexus/public/electronic-documents/OG_1313/facility!search","OG_1313_Docs")</f>
        <v>OG_1313_Docs</v>
      </c>
      <c r="E1397" s="57" t="str">
        <f>HYPERLINK("https://ca.dep.state.fl.us/mapdirect/?focus=oilandgas&amp;zoom=query&amp;querytype=oilandgas&amp;queryvalues=OG_1313","OG_1313_Map")</f>
        <v>OG_1313_Map</v>
      </c>
      <c r="F1397" s="1" t="s">
        <v>191</v>
      </c>
      <c r="G1397" s="1" t="s">
        <v>79</v>
      </c>
      <c r="H1397" s="1" t="s">
        <v>909</v>
      </c>
      <c r="I1397" s="1" t="s">
        <v>16093</v>
      </c>
      <c r="J1397" s="17" t="s">
        <v>207</v>
      </c>
      <c r="K1397" s="17" t="s">
        <v>15512</v>
      </c>
      <c r="L1397" s="27"/>
      <c r="M1397" s="17" t="s">
        <v>207</v>
      </c>
      <c r="N1397" s="52"/>
      <c r="O1397" s="17" t="s">
        <v>609</v>
      </c>
      <c r="P1397" s="17" t="s">
        <v>86</v>
      </c>
      <c r="Q1397" s="81" t="s">
        <v>13619</v>
      </c>
      <c r="R1397" s="11">
        <v>29.658882999999999</v>
      </c>
      <c r="S1397" s="11">
        <v>-84.595828999999995</v>
      </c>
      <c r="T1397" s="11" t="s">
        <v>16094</v>
      </c>
      <c r="U1397" s="11" t="s">
        <v>16095</v>
      </c>
      <c r="V1397" s="17" t="s">
        <v>233</v>
      </c>
      <c r="W1397" s="17" t="s">
        <v>207</v>
      </c>
      <c r="X1397" s="70"/>
      <c r="Y1397" s="70"/>
      <c r="Z1397" s="13"/>
      <c r="AA1397" s="26"/>
      <c r="AB1397" s="14"/>
      <c r="AC1397" s="14"/>
      <c r="AD1397" s="70"/>
      <c r="AE1397" s="70"/>
      <c r="AF1397" s="71" t="s">
        <v>207</v>
      </c>
      <c r="AG1397" s="27" t="s">
        <v>207</v>
      </c>
      <c r="AH1397" s="27" t="s">
        <v>207</v>
      </c>
      <c r="AI1397" s="71" t="s">
        <v>207</v>
      </c>
      <c r="AJ1397" s="27" t="s">
        <v>207</v>
      </c>
      <c r="AK1397" s="27" t="s">
        <v>207</v>
      </c>
      <c r="AL1397" s="27" t="s">
        <v>207</v>
      </c>
      <c r="AM1397" s="27" t="s">
        <v>207</v>
      </c>
      <c r="AN1397" s="27" t="s">
        <v>207</v>
      </c>
      <c r="AO1397" s="27" t="s">
        <v>207</v>
      </c>
      <c r="AP1397" s="27" t="s">
        <v>207</v>
      </c>
      <c r="AQ1397" s="27" t="s">
        <v>207</v>
      </c>
      <c r="AR1397" s="27" t="s">
        <v>207</v>
      </c>
      <c r="AS1397" s="27" t="s">
        <v>207</v>
      </c>
      <c r="AT1397" s="27" t="s">
        <v>207</v>
      </c>
      <c r="AU1397" s="30" t="s">
        <v>1843</v>
      </c>
      <c r="AV1397" s="14" t="s">
        <v>207</v>
      </c>
      <c r="AW1397" s="74"/>
      <c r="AX1397" s="17" t="s">
        <v>15512</v>
      </c>
      <c r="AY1397" s="17" t="s">
        <v>101</v>
      </c>
    </row>
    <row r="1398" spans="1:51" ht="12.75" customHeight="1" x14ac:dyDescent="0.25">
      <c r="A1398" s="5">
        <v>1314</v>
      </c>
      <c r="B1398" s="9" t="s">
        <v>16096</v>
      </c>
      <c r="C1398" s="9" t="s">
        <v>16097</v>
      </c>
      <c r="D1398" s="57" t="str">
        <f>HYPERLINK("http://prodenv.dep.state.fl.us/DepNexus/public/electronic-documents/OG_1314H/facility!search","OG_1314H_Docs")</f>
        <v>OG_1314H_Docs</v>
      </c>
      <c r="E1398" s="57" t="str">
        <f>HYPERLINK("https://ca.dep.state.fl.us/mapdirect/?focus=oilandgas&amp;zoom=query&amp;querytype=oilandgas&amp;queryvalues=OG_1314H","OG_1314H_Map")</f>
        <v>OG_1314H_Map</v>
      </c>
      <c r="F1398" s="1" t="s">
        <v>1682</v>
      </c>
      <c r="G1398" s="1" t="s">
        <v>5133</v>
      </c>
      <c r="H1398" s="1" t="s">
        <v>1363</v>
      </c>
      <c r="I1398" s="1" t="s">
        <v>16098</v>
      </c>
      <c r="J1398" s="17" t="s">
        <v>3646</v>
      </c>
      <c r="K1398" s="17" t="s">
        <v>412</v>
      </c>
      <c r="L1398" s="17"/>
      <c r="M1398" s="17"/>
      <c r="N1398" s="52" t="s">
        <v>16099</v>
      </c>
      <c r="O1398" s="17" t="s">
        <v>86</v>
      </c>
      <c r="P1398" s="17" t="s">
        <v>86</v>
      </c>
      <c r="Q1398" s="81" t="s">
        <v>16100</v>
      </c>
      <c r="R1398" s="11">
        <v>30.994918999999999</v>
      </c>
      <c r="S1398" s="11">
        <v>-87.186083999999994</v>
      </c>
      <c r="T1398" s="11" t="s">
        <v>16101</v>
      </c>
      <c r="U1398" s="11" t="s">
        <v>16102</v>
      </c>
      <c r="V1398" s="17" t="s">
        <v>233</v>
      </c>
      <c r="W1398" s="17" t="s">
        <v>16103</v>
      </c>
      <c r="X1398" s="70">
        <v>89.7</v>
      </c>
      <c r="Y1398" s="70">
        <v>54</v>
      </c>
      <c r="Z1398" s="13">
        <v>37033</v>
      </c>
      <c r="AA1398" s="13">
        <v>37109</v>
      </c>
      <c r="AB1398" s="13">
        <v>37306</v>
      </c>
      <c r="AC1398" s="13"/>
      <c r="AD1398" s="86">
        <v>15313</v>
      </c>
      <c r="AE1398" s="86">
        <v>18806</v>
      </c>
      <c r="AF1398" s="70" t="s">
        <v>16104</v>
      </c>
      <c r="AG1398" s="17" t="s">
        <v>16105</v>
      </c>
      <c r="AH1398" s="17" t="s">
        <v>94</v>
      </c>
      <c r="AI1398" s="70" t="s">
        <v>16106</v>
      </c>
      <c r="AJ1398" s="17" t="s">
        <v>16107</v>
      </c>
      <c r="AK1398" s="17"/>
      <c r="AL1398" s="17"/>
      <c r="AM1398" s="17"/>
      <c r="AN1398" s="17" t="s">
        <v>86</v>
      </c>
      <c r="AO1398" s="17" t="s">
        <v>16108</v>
      </c>
      <c r="AP1398" s="17" t="s">
        <v>16109</v>
      </c>
      <c r="AQ1398" s="17" t="s">
        <v>16110</v>
      </c>
      <c r="AR1398" s="17" t="s">
        <v>16111</v>
      </c>
      <c r="AS1398" s="17"/>
      <c r="AT1398" s="17">
        <v>258</v>
      </c>
      <c r="AU1398" s="30" t="s">
        <v>16112</v>
      </c>
      <c r="AV1398" s="14">
        <v>18368</v>
      </c>
      <c r="AW1398" s="74">
        <v>311152</v>
      </c>
      <c r="AX1398" s="1" t="s">
        <v>16113</v>
      </c>
      <c r="AY1398" s="17" t="s">
        <v>101</v>
      </c>
    </row>
    <row r="1399" spans="1:51" ht="12.75" customHeight="1" x14ac:dyDescent="0.25">
      <c r="A1399" s="5">
        <v>1315</v>
      </c>
      <c r="B1399" s="9">
        <v>1315</v>
      </c>
      <c r="C1399" s="9" t="s">
        <v>16114</v>
      </c>
      <c r="D1399" s="57" t="str">
        <f>HYPERLINK("http://prodenv.dep.state.fl.us/DepNexus/public/electronic-documents/OG_1315/facility!search","OG_1315_Docs")</f>
        <v>OG_1315_Docs</v>
      </c>
      <c r="E1399" s="57" t="str">
        <f>HYPERLINK("https://ca.dep.state.fl.us/mapdirect/?focus=oilandgas&amp;zoom=query&amp;querytype=oilandgas&amp;queryvalues=OG_1315","OG_1315_Map")</f>
        <v>OG_1315_Map</v>
      </c>
      <c r="F1399" s="1" t="s">
        <v>829</v>
      </c>
      <c r="G1399" s="1" t="s">
        <v>79</v>
      </c>
      <c r="H1399" s="1" t="s">
        <v>16115</v>
      </c>
      <c r="I1399" s="1" t="s">
        <v>16116</v>
      </c>
      <c r="J1399" s="17" t="s">
        <v>82</v>
      </c>
      <c r="K1399" s="17" t="s">
        <v>83</v>
      </c>
      <c r="L1399" s="17"/>
      <c r="M1399" s="17" t="s">
        <v>101</v>
      </c>
      <c r="N1399" s="52"/>
      <c r="O1399" s="17" t="s">
        <v>86</v>
      </c>
      <c r="P1399" s="17" t="s">
        <v>86</v>
      </c>
      <c r="Q1399" s="81" t="s">
        <v>16117</v>
      </c>
      <c r="R1399" s="11">
        <v>30.711639000000002</v>
      </c>
      <c r="S1399" s="11">
        <v>-86.631900999999999</v>
      </c>
      <c r="T1399" s="11" t="s">
        <v>16118</v>
      </c>
      <c r="U1399" s="11" t="s">
        <v>16119</v>
      </c>
      <c r="V1399" s="17" t="s">
        <v>16120</v>
      </c>
      <c r="W1399" s="17" t="s">
        <v>16121</v>
      </c>
      <c r="X1399" s="70">
        <v>135</v>
      </c>
      <c r="Y1399" s="70">
        <v>106</v>
      </c>
      <c r="Z1399" s="13">
        <v>37736</v>
      </c>
      <c r="AA1399" s="13">
        <v>37756</v>
      </c>
      <c r="AB1399" s="13">
        <v>37806</v>
      </c>
      <c r="AC1399" s="13">
        <v>37811</v>
      </c>
      <c r="AD1399" s="86">
        <v>14955</v>
      </c>
      <c r="AE1399" s="86">
        <v>15960</v>
      </c>
      <c r="AF1399" s="70" t="s">
        <v>16122</v>
      </c>
      <c r="AG1399" s="17" t="s">
        <v>16123</v>
      </c>
      <c r="AH1399" s="17"/>
      <c r="AI1399" s="70"/>
      <c r="AJ1399" s="17"/>
      <c r="AK1399" s="17" t="s">
        <v>95</v>
      </c>
      <c r="AL1399" s="17" t="s">
        <v>86</v>
      </c>
      <c r="AM1399" s="17"/>
      <c r="AN1399" s="17"/>
      <c r="AO1399" s="17" t="s">
        <v>98</v>
      </c>
      <c r="AP1399" s="17" t="s">
        <v>98</v>
      </c>
      <c r="AQ1399" s="17" t="s">
        <v>98</v>
      </c>
      <c r="AR1399" s="17" t="s">
        <v>16124</v>
      </c>
      <c r="AS1399" s="17"/>
      <c r="AT1399" s="17" t="s">
        <v>98</v>
      </c>
      <c r="AU1399" s="30" t="s">
        <v>16125</v>
      </c>
      <c r="AV1399" s="14">
        <v>18525</v>
      </c>
      <c r="AW1399" s="74"/>
      <c r="AX1399" s="1"/>
      <c r="AY1399" s="17" t="s">
        <v>101</v>
      </c>
    </row>
    <row r="1400" spans="1:51" ht="15" customHeight="1" x14ac:dyDescent="0.25">
      <c r="A1400" s="5">
        <v>1316</v>
      </c>
      <c r="B1400" s="9">
        <v>1316</v>
      </c>
      <c r="C1400" s="9" t="s">
        <v>16126</v>
      </c>
      <c r="D1400" s="57" t="str">
        <f>HYPERLINK("http://prodenv.dep.state.fl.us/DepNexus/public/electronic-documents/OG_1316/facility!search","OG_1316_Docs")</f>
        <v>OG_1316_Docs</v>
      </c>
      <c r="E1400" s="57" t="str">
        <f>HYPERLINK("https://ca.dep.state.fl.us/mapdirect/?focus=oilandgas&amp;zoom=query&amp;querytype=oilandgas&amp;queryvalues=OG_1316","OG_1316_Map")</f>
        <v>OG_1316_Map</v>
      </c>
      <c r="F1400" s="1" t="s">
        <v>829</v>
      </c>
      <c r="G1400" s="1" t="s">
        <v>79</v>
      </c>
      <c r="H1400" s="1" t="s">
        <v>16115</v>
      </c>
      <c r="I1400" s="1" t="s">
        <v>16127</v>
      </c>
      <c r="J1400" s="17" t="s">
        <v>207</v>
      </c>
      <c r="K1400" s="17" t="s">
        <v>208</v>
      </c>
      <c r="L1400" s="14"/>
      <c r="M1400" s="17" t="s">
        <v>207</v>
      </c>
      <c r="N1400" s="52"/>
      <c r="O1400" s="17" t="s">
        <v>86</v>
      </c>
      <c r="P1400" s="17" t="s">
        <v>86</v>
      </c>
      <c r="Q1400" s="81" t="s">
        <v>16117</v>
      </c>
      <c r="R1400" s="11">
        <v>30.711597000000001</v>
      </c>
      <c r="S1400" s="11">
        <v>-86.631629000000004</v>
      </c>
      <c r="T1400" s="11" t="s">
        <v>16128</v>
      </c>
      <c r="U1400" s="11" t="s">
        <v>16129</v>
      </c>
      <c r="V1400" s="17" t="s">
        <v>16130</v>
      </c>
      <c r="W1400" s="23" t="s">
        <v>207</v>
      </c>
      <c r="X1400" s="70"/>
      <c r="Y1400" s="70"/>
      <c r="Z1400" s="13"/>
      <c r="AA1400" s="13"/>
      <c r="AB1400" s="14"/>
      <c r="AC1400" s="14"/>
      <c r="AD1400" s="70"/>
      <c r="AE1400" s="70"/>
      <c r="AF1400" s="70" t="s">
        <v>207</v>
      </c>
      <c r="AG1400" s="14" t="s">
        <v>207</v>
      </c>
      <c r="AH1400" s="14" t="s">
        <v>207</v>
      </c>
      <c r="AI1400" s="70" t="s">
        <v>207</v>
      </c>
      <c r="AJ1400" s="14" t="s">
        <v>207</v>
      </c>
      <c r="AK1400" s="14" t="s">
        <v>207</v>
      </c>
      <c r="AL1400" s="14" t="s">
        <v>207</v>
      </c>
      <c r="AM1400" s="14" t="s">
        <v>207</v>
      </c>
      <c r="AN1400" s="14" t="s">
        <v>207</v>
      </c>
      <c r="AO1400" s="14" t="s">
        <v>207</v>
      </c>
      <c r="AP1400" s="14" t="s">
        <v>207</v>
      </c>
      <c r="AQ1400" s="14" t="s">
        <v>207</v>
      </c>
      <c r="AR1400" s="14" t="s">
        <v>207</v>
      </c>
      <c r="AS1400" s="14" t="s">
        <v>207</v>
      </c>
      <c r="AT1400" s="17" t="s">
        <v>98</v>
      </c>
      <c r="AU1400" s="30" t="s">
        <v>1843</v>
      </c>
      <c r="AV1400" s="14" t="s">
        <v>207</v>
      </c>
      <c r="AW1400" s="74"/>
      <c r="AX1400" s="14" t="s">
        <v>15808</v>
      </c>
      <c r="AY1400" s="17" t="s">
        <v>101</v>
      </c>
    </row>
    <row r="1401" spans="1:51" ht="12.75" customHeight="1" x14ac:dyDescent="0.25">
      <c r="A1401" s="5">
        <v>1317</v>
      </c>
      <c r="B1401" s="9">
        <v>1317</v>
      </c>
      <c r="C1401" s="9" t="s">
        <v>16131</v>
      </c>
      <c r="D1401" s="57" t="str">
        <f>HYPERLINK("http://prodenv.dep.state.fl.us/DepNexus/public/electronic-documents/OG_1317/facility!search","OG_1317_Docs")</f>
        <v>OG_1317_Docs</v>
      </c>
      <c r="E1401" s="57" t="str">
        <f>HYPERLINK("https://ca.dep.state.fl.us/mapdirect/?focus=oilandgas&amp;zoom=query&amp;querytype=oilandgas&amp;queryvalues=OG_1317","OG_1317_Map")</f>
        <v>OG_1317_Map</v>
      </c>
      <c r="F1401" s="1" t="s">
        <v>829</v>
      </c>
      <c r="G1401" s="1" t="s">
        <v>79</v>
      </c>
      <c r="H1401" s="1" t="s">
        <v>16115</v>
      </c>
      <c r="I1401" s="1" t="s">
        <v>16132</v>
      </c>
      <c r="J1401" s="17" t="s">
        <v>207</v>
      </c>
      <c r="K1401" s="17" t="s">
        <v>208</v>
      </c>
      <c r="L1401" s="14"/>
      <c r="M1401" s="17" t="s">
        <v>207</v>
      </c>
      <c r="N1401" s="52"/>
      <c r="O1401" s="17" t="s">
        <v>86</v>
      </c>
      <c r="P1401" s="17" t="s">
        <v>86</v>
      </c>
      <c r="Q1401" s="81" t="s">
        <v>16117</v>
      </c>
      <c r="R1401" s="11">
        <v>30.711438999999999</v>
      </c>
      <c r="S1401" s="11">
        <v>-86.631493000000006</v>
      </c>
      <c r="T1401" s="11" t="s">
        <v>16133</v>
      </c>
      <c r="U1401" s="11" t="s">
        <v>16134</v>
      </c>
      <c r="V1401" s="17" t="s">
        <v>16135</v>
      </c>
      <c r="W1401" s="23" t="s">
        <v>207</v>
      </c>
      <c r="X1401" s="70"/>
      <c r="Y1401" s="70"/>
      <c r="Z1401" s="13"/>
      <c r="AA1401" s="13"/>
      <c r="AB1401" s="14"/>
      <c r="AC1401" s="14"/>
      <c r="AD1401" s="70"/>
      <c r="AE1401" s="70"/>
      <c r="AF1401" s="70" t="s">
        <v>207</v>
      </c>
      <c r="AG1401" s="14" t="s">
        <v>207</v>
      </c>
      <c r="AH1401" s="14" t="s">
        <v>207</v>
      </c>
      <c r="AI1401" s="70" t="s">
        <v>207</v>
      </c>
      <c r="AJ1401" s="14" t="s">
        <v>207</v>
      </c>
      <c r="AK1401" s="14" t="s">
        <v>207</v>
      </c>
      <c r="AL1401" s="14" t="s">
        <v>207</v>
      </c>
      <c r="AM1401" s="14" t="s">
        <v>207</v>
      </c>
      <c r="AN1401" s="14" t="s">
        <v>207</v>
      </c>
      <c r="AO1401" s="14" t="s">
        <v>207</v>
      </c>
      <c r="AP1401" s="14" t="s">
        <v>207</v>
      </c>
      <c r="AQ1401" s="14" t="s">
        <v>207</v>
      </c>
      <c r="AR1401" s="14" t="s">
        <v>207</v>
      </c>
      <c r="AS1401" s="14" t="s">
        <v>207</v>
      </c>
      <c r="AT1401" s="17" t="s">
        <v>98</v>
      </c>
      <c r="AU1401" s="30" t="s">
        <v>1843</v>
      </c>
      <c r="AV1401" s="14" t="s">
        <v>207</v>
      </c>
      <c r="AW1401" s="74"/>
      <c r="AX1401" s="14" t="s">
        <v>15808</v>
      </c>
      <c r="AY1401" s="17" t="s">
        <v>101</v>
      </c>
    </row>
    <row r="1402" spans="1:51" ht="12.75" customHeight="1" x14ac:dyDescent="0.25">
      <c r="A1402" s="5">
        <v>1318</v>
      </c>
      <c r="B1402" s="9">
        <v>1318</v>
      </c>
      <c r="C1402" s="9" t="s">
        <v>16136</v>
      </c>
      <c r="D1402" s="57" t="str">
        <f>HYPERLINK("http://prodenv.dep.state.fl.us/DepNexus/public/electronic-documents/OG_1318/facility!search","OG_1318_Docs")</f>
        <v>OG_1318_Docs</v>
      </c>
      <c r="E1402" s="57" t="str">
        <f>HYPERLINK("https://ca.dep.state.fl.us/mapdirect/?focus=oilandgas&amp;zoom=query&amp;querytype=oilandgas&amp;queryvalues=OG_1318","OG_1318_Map")</f>
        <v>OG_1318_Map</v>
      </c>
      <c r="F1402" s="1" t="s">
        <v>829</v>
      </c>
      <c r="G1402" s="1" t="s">
        <v>79</v>
      </c>
      <c r="H1402" s="1" t="s">
        <v>16115</v>
      </c>
      <c r="I1402" s="1" t="s">
        <v>16137</v>
      </c>
      <c r="J1402" s="17" t="s">
        <v>207</v>
      </c>
      <c r="K1402" s="17" t="s">
        <v>208</v>
      </c>
      <c r="L1402" s="14"/>
      <c r="M1402" s="17" t="s">
        <v>207</v>
      </c>
      <c r="N1402" s="52"/>
      <c r="O1402" s="17" t="s">
        <v>86</v>
      </c>
      <c r="P1402" s="17" t="s">
        <v>86</v>
      </c>
      <c r="Q1402" s="81" t="s">
        <v>16117</v>
      </c>
      <c r="R1402" s="11">
        <v>30.711373999999999</v>
      </c>
      <c r="S1402" s="11">
        <v>-86.631355999999997</v>
      </c>
      <c r="T1402" s="11" t="s">
        <v>16138</v>
      </c>
      <c r="U1402" s="11" t="s">
        <v>16139</v>
      </c>
      <c r="V1402" s="17" t="s">
        <v>16140</v>
      </c>
      <c r="W1402" s="23" t="s">
        <v>207</v>
      </c>
      <c r="X1402" s="70"/>
      <c r="Y1402" s="70"/>
      <c r="Z1402" s="13"/>
      <c r="AA1402" s="13"/>
      <c r="AB1402" s="14"/>
      <c r="AC1402" s="14"/>
      <c r="AD1402" s="70"/>
      <c r="AE1402" s="70"/>
      <c r="AF1402" s="70" t="s">
        <v>207</v>
      </c>
      <c r="AG1402" s="14" t="s">
        <v>207</v>
      </c>
      <c r="AH1402" s="14" t="s">
        <v>207</v>
      </c>
      <c r="AI1402" s="70" t="s">
        <v>207</v>
      </c>
      <c r="AJ1402" s="14" t="s">
        <v>207</v>
      </c>
      <c r="AK1402" s="14" t="s">
        <v>207</v>
      </c>
      <c r="AL1402" s="14" t="s">
        <v>207</v>
      </c>
      <c r="AM1402" s="14" t="s">
        <v>207</v>
      </c>
      <c r="AN1402" s="14" t="s">
        <v>207</v>
      </c>
      <c r="AO1402" s="14" t="s">
        <v>207</v>
      </c>
      <c r="AP1402" s="14" t="s">
        <v>207</v>
      </c>
      <c r="AQ1402" s="14" t="s">
        <v>207</v>
      </c>
      <c r="AR1402" s="14" t="s">
        <v>207</v>
      </c>
      <c r="AS1402" s="14" t="s">
        <v>207</v>
      </c>
      <c r="AT1402" s="17" t="s">
        <v>98</v>
      </c>
      <c r="AU1402" s="30" t="s">
        <v>1843</v>
      </c>
      <c r="AV1402" s="14" t="s">
        <v>207</v>
      </c>
      <c r="AW1402" s="74"/>
      <c r="AX1402" s="14" t="s">
        <v>15808</v>
      </c>
      <c r="AY1402" s="17" t="s">
        <v>101</v>
      </c>
    </row>
    <row r="1403" spans="1:51" ht="12.75" customHeight="1" x14ac:dyDescent="0.25">
      <c r="A1403" s="5">
        <v>1319</v>
      </c>
      <c r="B1403" s="9">
        <v>1319</v>
      </c>
      <c r="C1403" s="9" t="s">
        <v>16141</v>
      </c>
      <c r="D1403" s="57" t="str">
        <f>HYPERLINK("http://prodenv.dep.state.fl.us/DepNexus/public/electronic-documents/OG_1319/facility!search","OG_1319_Docs")</f>
        <v>OG_1319_Docs</v>
      </c>
      <c r="E1403" s="57" t="str">
        <f>HYPERLINK("https://ca.dep.state.fl.us/mapdirect/?focus=oilandgas&amp;zoom=query&amp;querytype=oilandgas&amp;queryvalues=OG_1319","OG_1319_Map")</f>
        <v>OG_1319_Map</v>
      </c>
      <c r="F1403" s="1" t="s">
        <v>1797</v>
      </c>
      <c r="G1403" s="1" t="s">
        <v>5133</v>
      </c>
      <c r="H1403" s="1" t="s">
        <v>8261</v>
      </c>
      <c r="I1403" s="1" t="s">
        <v>16142</v>
      </c>
      <c r="J1403" s="17" t="s">
        <v>207</v>
      </c>
      <c r="K1403" s="17" t="s">
        <v>208</v>
      </c>
      <c r="L1403" s="14"/>
      <c r="M1403" s="17" t="s">
        <v>207</v>
      </c>
      <c r="N1403" s="52"/>
      <c r="O1403" s="17" t="s">
        <v>86</v>
      </c>
      <c r="P1403" s="17" t="s">
        <v>86</v>
      </c>
      <c r="Q1403" s="81" t="s">
        <v>7472</v>
      </c>
      <c r="R1403" s="11">
        <v>30.933354000000001</v>
      </c>
      <c r="S1403" s="11">
        <v>-87.148787999999996</v>
      </c>
      <c r="T1403" s="11" t="s">
        <v>16143</v>
      </c>
      <c r="U1403" s="11" t="s">
        <v>16144</v>
      </c>
      <c r="V1403" s="17" t="s">
        <v>16145</v>
      </c>
      <c r="W1403" s="23" t="s">
        <v>207</v>
      </c>
      <c r="X1403" s="70"/>
      <c r="Y1403" s="70"/>
      <c r="Z1403" s="13">
        <v>37993</v>
      </c>
      <c r="AA1403" s="13"/>
      <c r="AB1403" s="14"/>
      <c r="AC1403" s="14"/>
      <c r="AD1403" s="70"/>
      <c r="AE1403" s="70"/>
      <c r="AF1403" s="70" t="s">
        <v>207</v>
      </c>
      <c r="AG1403" s="14" t="s">
        <v>207</v>
      </c>
      <c r="AH1403" s="14" t="s">
        <v>207</v>
      </c>
      <c r="AI1403" s="70" t="s">
        <v>207</v>
      </c>
      <c r="AJ1403" s="14" t="s">
        <v>207</v>
      </c>
      <c r="AK1403" s="14" t="s">
        <v>207</v>
      </c>
      <c r="AL1403" s="14" t="s">
        <v>207</v>
      </c>
      <c r="AM1403" s="14" t="s">
        <v>207</v>
      </c>
      <c r="AN1403" s="14" t="s">
        <v>207</v>
      </c>
      <c r="AO1403" s="14" t="s">
        <v>207</v>
      </c>
      <c r="AP1403" s="14" t="s">
        <v>207</v>
      </c>
      <c r="AQ1403" s="14" t="s">
        <v>207</v>
      </c>
      <c r="AR1403" s="14" t="s">
        <v>207</v>
      </c>
      <c r="AS1403" s="14" t="s">
        <v>207</v>
      </c>
      <c r="AT1403" s="20" t="s">
        <v>98</v>
      </c>
      <c r="AU1403" s="30" t="s">
        <v>1843</v>
      </c>
      <c r="AV1403" s="14" t="s">
        <v>207</v>
      </c>
      <c r="AW1403" s="74"/>
      <c r="AX1403" s="1"/>
      <c r="AY1403" s="17" t="s">
        <v>101</v>
      </c>
    </row>
    <row r="1404" spans="1:51" ht="12.75" customHeight="1" x14ac:dyDescent="0.25">
      <c r="A1404" s="5">
        <v>1320</v>
      </c>
      <c r="B1404" s="9">
        <v>1320</v>
      </c>
      <c r="C1404" s="9" t="s">
        <v>16146</v>
      </c>
      <c r="D1404" s="57" t="str">
        <f>HYPERLINK("http://prodenv.dep.state.fl.us/DepNexus/public/electronic-documents/OG_1320/facility!search","OG_1320_Docs")</f>
        <v>OG_1320_Docs</v>
      </c>
      <c r="E1404" s="57" t="str">
        <f>HYPERLINK("https://ca.dep.state.fl.us/mapdirect/?focus=oilandgas&amp;zoom=query&amp;querytype=oilandgas&amp;queryvalues=OG_1320","OG_1320_Map")</f>
        <v>OG_1320_Map</v>
      </c>
      <c r="F1404" s="1" t="s">
        <v>1797</v>
      </c>
      <c r="G1404" s="1" t="s">
        <v>5133</v>
      </c>
      <c r="H1404" s="1" t="s">
        <v>1363</v>
      </c>
      <c r="I1404" s="1" t="s">
        <v>16147</v>
      </c>
      <c r="J1404" s="23" t="s">
        <v>5135</v>
      </c>
      <c r="K1404" s="23" t="s">
        <v>4266</v>
      </c>
      <c r="L1404" s="17"/>
      <c r="M1404" s="17"/>
      <c r="N1404" s="52" t="s">
        <v>16148</v>
      </c>
      <c r="O1404" s="17" t="s">
        <v>86</v>
      </c>
      <c r="P1404" s="17" t="s">
        <v>86</v>
      </c>
      <c r="Q1404" s="81" t="s">
        <v>5510</v>
      </c>
      <c r="R1404" s="11">
        <v>30.980080000000001</v>
      </c>
      <c r="S1404" s="11">
        <v>-87.162211999999997</v>
      </c>
      <c r="T1404" s="11" t="s">
        <v>16149</v>
      </c>
      <c r="U1404" s="11" t="s">
        <v>16150</v>
      </c>
      <c r="V1404" s="17" t="s">
        <v>16151</v>
      </c>
      <c r="W1404" s="17"/>
      <c r="X1404" s="70">
        <v>34</v>
      </c>
      <c r="Y1404" s="70">
        <v>147</v>
      </c>
      <c r="Z1404" s="13">
        <v>38139</v>
      </c>
      <c r="AA1404" s="13">
        <v>38460</v>
      </c>
      <c r="AB1404" s="13">
        <v>38609</v>
      </c>
      <c r="AC1404" s="13"/>
      <c r="AD1404" s="70">
        <v>15739</v>
      </c>
      <c r="AE1404" s="86">
        <v>15787</v>
      </c>
      <c r="AF1404" s="70" t="s">
        <v>16152</v>
      </c>
      <c r="AG1404" s="17" t="s">
        <v>16153</v>
      </c>
      <c r="AH1404" s="17"/>
      <c r="AI1404" s="70" t="s">
        <v>16154</v>
      </c>
      <c r="AJ1404" s="17" t="s">
        <v>16155</v>
      </c>
      <c r="AK1404" s="17"/>
      <c r="AL1404" s="17"/>
      <c r="AM1404" s="17"/>
      <c r="AN1404" s="17"/>
      <c r="AO1404" s="17" t="s">
        <v>16156</v>
      </c>
      <c r="AP1404" s="17" t="s">
        <v>16157</v>
      </c>
      <c r="AQ1404" s="17" t="s">
        <v>16158</v>
      </c>
      <c r="AR1404" s="17" t="s">
        <v>16159</v>
      </c>
      <c r="AS1404" s="17" t="s">
        <v>16160</v>
      </c>
      <c r="AT1404" s="17"/>
      <c r="AU1404" s="30" t="s">
        <v>16161</v>
      </c>
      <c r="AV1404" s="14">
        <v>18621</v>
      </c>
      <c r="AW1404" s="74">
        <v>303179</v>
      </c>
      <c r="AX1404" s="1" t="s">
        <v>16162</v>
      </c>
      <c r="AY1404" s="17" t="s">
        <v>101</v>
      </c>
    </row>
    <row r="1405" spans="1:51" ht="12.75" customHeight="1" x14ac:dyDescent="0.25">
      <c r="A1405" s="5">
        <v>1321</v>
      </c>
      <c r="B1405" s="9">
        <v>1321</v>
      </c>
      <c r="C1405" s="9" t="s">
        <v>16163</v>
      </c>
      <c r="D1405" s="57" t="str">
        <f>HYPERLINK("http://prodenv.dep.state.fl.us/DepNexus/public/electronic-documents/OG_1321/facility!search","OG_1321_Docs")</f>
        <v>OG_1321_Docs</v>
      </c>
      <c r="E1405" s="57" t="str">
        <f>HYPERLINK("https://ca.dep.state.fl.us/mapdirect/?focus=oilandgas&amp;zoom=query&amp;querytype=oilandgas&amp;queryvalues=OG_1321","OG_1321_Map")</f>
        <v>OG_1321_Map</v>
      </c>
      <c r="F1405" s="1" t="s">
        <v>1797</v>
      </c>
      <c r="G1405" s="1" t="s">
        <v>5133</v>
      </c>
      <c r="H1405" s="1" t="s">
        <v>1363</v>
      </c>
      <c r="I1405" s="1" t="s">
        <v>16164</v>
      </c>
      <c r="J1405" s="17" t="s">
        <v>3646</v>
      </c>
      <c r="K1405" s="23" t="s">
        <v>412</v>
      </c>
      <c r="L1405" s="17"/>
      <c r="M1405" s="17"/>
      <c r="N1405" s="52" t="s">
        <v>16165</v>
      </c>
      <c r="O1405" s="17" t="s">
        <v>86</v>
      </c>
      <c r="P1405" s="17" t="s">
        <v>86</v>
      </c>
      <c r="Q1405" s="81" t="s">
        <v>6617</v>
      </c>
      <c r="R1405" s="11">
        <v>30.966972999999999</v>
      </c>
      <c r="S1405" s="11">
        <v>-87.172161000000003</v>
      </c>
      <c r="T1405" s="11" t="s">
        <v>16166</v>
      </c>
      <c r="U1405" s="11" t="s">
        <v>16167</v>
      </c>
      <c r="V1405" s="17" t="s">
        <v>16168</v>
      </c>
      <c r="W1405" s="17"/>
      <c r="X1405" s="70">
        <v>34</v>
      </c>
      <c r="Y1405" s="70">
        <v>193</v>
      </c>
      <c r="Z1405" s="13">
        <v>38139</v>
      </c>
      <c r="AA1405" s="13">
        <v>38511</v>
      </c>
      <c r="AB1405" s="13">
        <v>38607</v>
      </c>
      <c r="AC1405" s="13"/>
      <c r="AD1405" s="70">
        <v>15819</v>
      </c>
      <c r="AE1405" s="86">
        <v>15839</v>
      </c>
      <c r="AF1405" s="70" t="s">
        <v>16169</v>
      </c>
      <c r="AG1405" s="17" t="s">
        <v>16170</v>
      </c>
      <c r="AH1405" s="17"/>
      <c r="AI1405" s="70" t="s">
        <v>16171</v>
      </c>
      <c r="AJ1405" s="17" t="s">
        <v>16172</v>
      </c>
      <c r="AK1405" s="17"/>
      <c r="AL1405" s="17"/>
      <c r="AM1405" s="17"/>
      <c r="AN1405" s="17"/>
      <c r="AO1405" s="17" t="s">
        <v>16173</v>
      </c>
      <c r="AP1405" s="17" t="s">
        <v>16174</v>
      </c>
      <c r="AQ1405" s="17" t="s">
        <v>16175</v>
      </c>
      <c r="AR1405" s="17" t="s">
        <v>16176</v>
      </c>
      <c r="AS1405" s="17"/>
      <c r="AT1405" s="17"/>
      <c r="AU1405" s="30" t="s">
        <v>16177</v>
      </c>
      <c r="AV1405" s="14">
        <v>18623</v>
      </c>
      <c r="AW1405" s="74">
        <v>303180</v>
      </c>
      <c r="AX1405" s="1"/>
      <c r="AY1405" s="17" t="s">
        <v>101</v>
      </c>
    </row>
    <row r="1406" spans="1:51" ht="15" customHeight="1" x14ac:dyDescent="0.25">
      <c r="A1406" s="5">
        <v>1322</v>
      </c>
      <c r="B1406" s="9">
        <v>1322</v>
      </c>
      <c r="C1406" s="9" t="s">
        <v>16178</v>
      </c>
      <c r="D1406" s="57" t="str">
        <f>HYPERLINK("http://prodenv.dep.state.fl.us/DepNexus/public/electronic-documents/OG_1322/facility!search","OG_1322_Docs")</f>
        <v>OG_1322_Docs</v>
      </c>
      <c r="E1406" s="57" t="str">
        <f>HYPERLINK("https://ca.dep.state.fl.us/mapdirect/?focus=oilandgas&amp;zoom=query&amp;querytype=oilandgas&amp;queryvalues=OG_1322","OG_1322_Map")</f>
        <v>OG_1322_Map</v>
      </c>
      <c r="F1406" s="1" t="s">
        <v>1682</v>
      </c>
      <c r="G1406" s="1" t="s">
        <v>5133</v>
      </c>
      <c r="H1406" s="1" t="s">
        <v>1363</v>
      </c>
      <c r="I1406" s="1" t="s">
        <v>16179</v>
      </c>
      <c r="J1406" s="17" t="s">
        <v>3646</v>
      </c>
      <c r="K1406" s="17" t="s">
        <v>412</v>
      </c>
      <c r="L1406" s="17"/>
      <c r="M1406" s="17"/>
      <c r="N1406" s="52" t="s">
        <v>16148</v>
      </c>
      <c r="O1406" s="17" t="s">
        <v>86</v>
      </c>
      <c r="P1406" s="17" t="s">
        <v>86</v>
      </c>
      <c r="Q1406" s="81" t="s">
        <v>6081</v>
      </c>
      <c r="R1406" s="11">
        <v>30.995954000000001</v>
      </c>
      <c r="S1406" s="11">
        <v>-87.178687999999994</v>
      </c>
      <c r="T1406" s="11" t="s">
        <v>16180</v>
      </c>
      <c r="U1406" s="11" t="s">
        <v>16181</v>
      </c>
      <c r="V1406" s="17" t="s">
        <v>16182</v>
      </c>
      <c r="W1406" s="17"/>
      <c r="X1406" s="70">
        <v>34</v>
      </c>
      <c r="Y1406" s="70">
        <v>55.9</v>
      </c>
      <c r="Z1406" s="13">
        <v>38286</v>
      </c>
      <c r="AA1406" s="13">
        <v>38554</v>
      </c>
      <c r="AB1406" s="13">
        <v>38666</v>
      </c>
      <c r="AC1406" s="13"/>
      <c r="AD1406" s="86">
        <v>15617</v>
      </c>
      <c r="AE1406" s="86"/>
      <c r="AF1406" s="70" t="s">
        <v>14651</v>
      </c>
      <c r="AG1406" s="17" t="s">
        <v>16183</v>
      </c>
      <c r="AH1406" s="17"/>
      <c r="AI1406" s="70" t="s">
        <v>16184</v>
      </c>
      <c r="AJ1406" s="17" t="s">
        <v>16185</v>
      </c>
      <c r="AK1406" s="17"/>
      <c r="AL1406" s="17"/>
      <c r="AM1406" s="17"/>
      <c r="AN1406" s="17"/>
      <c r="AO1406" s="17" t="s">
        <v>16124</v>
      </c>
      <c r="AP1406" s="17" t="s">
        <v>16186</v>
      </c>
      <c r="AQ1406" s="17" t="s">
        <v>16187</v>
      </c>
      <c r="AR1406" s="17" t="s">
        <v>16188</v>
      </c>
      <c r="AS1406" s="17" t="s">
        <v>16189</v>
      </c>
      <c r="AT1406" s="17"/>
      <c r="AU1406" s="30" t="s">
        <v>16190</v>
      </c>
      <c r="AV1406" s="14">
        <v>18729</v>
      </c>
      <c r="AW1406" s="74">
        <v>303901</v>
      </c>
      <c r="AX1406" s="1"/>
      <c r="AY1406" s="17" t="s">
        <v>101</v>
      </c>
    </row>
    <row r="1407" spans="1:51" ht="15" customHeight="1" x14ac:dyDescent="0.25">
      <c r="A1407" s="5">
        <v>1323</v>
      </c>
      <c r="B1407" s="9">
        <v>1323</v>
      </c>
      <c r="C1407" s="9" t="s">
        <v>16191</v>
      </c>
      <c r="D1407" s="57" t="str">
        <f>HYPERLINK("http://prodenv.dep.state.fl.us/DepNexus/public/electronic-documents/OG_1323/facility!search","OG_1323_Docs")</f>
        <v>OG_1323_Docs</v>
      </c>
      <c r="E1407" s="57" t="str">
        <f>HYPERLINK("https://ca.dep.state.fl.us/mapdirect/?focus=oilandgas&amp;zoom=query&amp;querytype=oilandgas&amp;queryvalues=OG_1323","OG_1323_Map")</f>
        <v>OG_1323_Map</v>
      </c>
      <c r="F1407" s="1" t="s">
        <v>2697</v>
      </c>
      <c r="G1407" s="1" t="s">
        <v>79</v>
      </c>
      <c r="H1407" s="1" t="s">
        <v>16192</v>
      </c>
      <c r="I1407" s="1" t="s">
        <v>16193</v>
      </c>
      <c r="J1407" s="17" t="s">
        <v>4294</v>
      </c>
      <c r="K1407" s="17" t="s">
        <v>16194</v>
      </c>
      <c r="L1407" s="17"/>
      <c r="M1407" s="17"/>
      <c r="N1407" s="52" t="s">
        <v>86</v>
      </c>
      <c r="O1407" s="17" t="s">
        <v>86</v>
      </c>
      <c r="P1407" s="17" t="s">
        <v>86</v>
      </c>
      <c r="Q1407" s="81" t="s">
        <v>16195</v>
      </c>
      <c r="R1407" s="11">
        <v>27.154188000000001</v>
      </c>
      <c r="S1407" s="11">
        <v>-81.336071000000004</v>
      </c>
      <c r="T1407" s="11" t="s">
        <v>16196</v>
      </c>
      <c r="U1407" s="11" t="s">
        <v>16197</v>
      </c>
      <c r="V1407" s="17" t="s">
        <v>16198</v>
      </c>
      <c r="W1407" s="17" t="s">
        <v>110</v>
      </c>
      <c r="X1407" s="70">
        <v>194</v>
      </c>
      <c r="Y1407" s="70">
        <v>172.2</v>
      </c>
      <c r="Z1407" s="13">
        <v>38196</v>
      </c>
      <c r="AA1407" s="13">
        <v>38299</v>
      </c>
      <c r="AB1407" s="13"/>
      <c r="AC1407" s="13">
        <v>38324</v>
      </c>
      <c r="AD1407" s="86">
        <v>1157</v>
      </c>
      <c r="AE1407" s="86">
        <v>1157</v>
      </c>
      <c r="AF1407" s="70" t="s">
        <v>16199</v>
      </c>
      <c r="AG1407" s="17" t="s">
        <v>98</v>
      </c>
      <c r="AH1407" s="17" t="s">
        <v>94</v>
      </c>
      <c r="AI1407" s="70" t="s">
        <v>98</v>
      </c>
      <c r="AJ1407" s="17" t="s">
        <v>98</v>
      </c>
      <c r="AK1407" s="17" t="s">
        <v>16200</v>
      </c>
      <c r="AL1407" s="17" t="s">
        <v>86</v>
      </c>
      <c r="AM1407" s="17" t="s">
        <v>98</v>
      </c>
      <c r="AN1407" s="17" t="s">
        <v>98</v>
      </c>
      <c r="AO1407" s="17" t="s">
        <v>98</v>
      </c>
      <c r="AP1407" s="17" t="s">
        <v>98</v>
      </c>
      <c r="AQ1407" s="17" t="s">
        <v>98</v>
      </c>
      <c r="AR1407" s="17" t="s">
        <v>98</v>
      </c>
      <c r="AS1407" s="17" t="s">
        <v>16201</v>
      </c>
      <c r="AT1407" s="17"/>
      <c r="AU1407" s="30" t="s">
        <v>16202</v>
      </c>
      <c r="AV1407" s="14" t="s">
        <v>98</v>
      </c>
      <c r="AW1407" s="74"/>
      <c r="AX1407" s="24" t="s">
        <v>16203</v>
      </c>
      <c r="AY1407" s="17" t="s">
        <v>101</v>
      </c>
    </row>
    <row r="1408" spans="1:51" ht="15" customHeight="1" x14ac:dyDescent="0.25">
      <c r="A1408" s="5">
        <v>1323.1</v>
      </c>
      <c r="B1408" s="9" t="s">
        <v>16204</v>
      </c>
      <c r="C1408" s="9" t="s">
        <v>16191</v>
      </c>
      <c r="D1408" s="57" t="str">
        <f>HYPERLINK("http://prodenv.dep.state.fl.us/DepNexus/public/electronic-documents/OG_1323/facility!search","OG_1323_Docs")</f>
        <v>OG_1323_Docs</v>
      </c>
      <c r="E1408" s="57" t="str">
        <f>HYPERLINK("https://ca.dep.state.fl.us/mapdirect/?focus=oilandgas&amp;zoom=query&amp;querytype=oilandgas&amp;queryvalues=OG_1323","OG_1323_Map")</f>
        <v>OG_1323_Map</v>
      </c>
      <c r="F1408" s="1" t="s">
        <v>2697</v>
      </c>
      <c r="G1408" s="1" t="s">
        <v>79</v>
      </c>
      <c r="H1408" s="1" t="s">
        <v>16192</v>
      </c>
      <c r="I1408" s="1" t="s">
        <v>16205</v>
      </c>
      <c r="J1408" s="17" t="s">
        <v>82</v>
      </c>
      <c r="K1408" s="17" t="s">
        <v>83</v>
      </c>
      <c r="L1408" s="17"/>
      <c r="M1408" s="17" t="s">
        <v>101</v>
      </c>
      <c r="N1408" s="52" t="s">
        <v>16206</v>
      </c>
      <c r="O1408" s="17" t="s">
        <v>86</v>
      </c>
      <c r="P1408" s="17" t="s">
        <v>86</v>
      </c>
      <c r="Q1408" s="81" t="s">
        <v>16195</v>
      </c>
      <c r="R1408" s="11">
        <v>27.154546</v>
      </c>
      <c r="S1408" s="11">
        <v>-81.335559000000003</v>
      </c>
      <c r="T1408" s="11" t="s">
        <v>16207</v>
      </c>
      <c r="U1408" s="11" t="s">
        <v>16208</v>
      </c>
      <c r="V1408" s="17" t="s">
        <v>16209</v>
      </c>
      <c r="W1408" s="17"/>
      <c r="X1408" s="70">
        <v>195</v>
      </c>
      <c r="Y1408" s="70">
        <v>173</v>
      </c>
      <c r="Z1408" s="13">
        <v>38331</v>
      </c>
      <c r="AA1408" s="13">
        <v>38331</v>
      </c>
      <c r="AB1408" s="13"/>
      <c r="AC1408" s="13">
        <v>38700</v>
      </c>
      <c r="AD1408" s="86">
        <v>12506</v>
      </c>
      <c r="AE1408" s="86">
        <v>12506</v>
      </c>
      <c r="AF1408" s="70" t="s">
        <v>16210</v>
      </c>
      <c r="AG1408" s="17" t="s">
        <v>16211</v>
      </c>
      <c r="AH1408" s="17" t="s">
        <v>16212</v>
      </c>
      <c r="AI1408" s="70" t="s">
        <v>16213</v>
      </c>
      <c r="AJ1408" s="17" t="s">
        <v>94</v>
      </c>
      <c r="AK1408" s="17" t="s">
        <v>95</v>
      </c>
      <c r="AL1408" s="17" t="s">
        <v>16214</v>
      </c>
      <c r="AM1408" s="17"/>
      <c r="AN1408" s="17"/>
      <c r="AO1408" s="17" t="s">
        <v>98</v>
      </c>
      <c r="AP1408" s="17" t="s">
        <v>98</v>
      </c>
      <c r="AQ1408" s="17" t="s">
        <v>98</v>
      </c>
      <c r="AR1408" s="17" t="s">
        <v>86</v>
      </c>
      <c r="AS1408" s="17" t="s">
        <v>16215</v>
      </c>
      <c r="AT1408" s="17">
        <v>198</v>
      </c>
      <c r="AU1408" s="30" t="s">
        <v>16216</v>
      </c>
      <c r="AV1408" s="14">
        <v>18593</v>
      </c>
      <c r="AW1408" s="74"/>
      <c r="AX1408" s="52" t="s">
        <v>16217</v>
      </c>
      <c r="AY1408" s="17" t="s">
        <v>101</v>
      </c>
    </row>
    <row r="1409" spans="1:51" ht="12.75" customHeight="1" x14ac:dyDescent="0.25">
      <c r="A1409" s="5">
        <v>1324</v>
      </c>
      <c r="B1409" s="9">
        <v>1324</v>
      </c>
      <c r="C1409" s="9" t="s">
        <v>16218</v>
      </c>
      <c r="D1409" s="57" t="str">
        <f>HYPERLINK("http://prodenv.dep.state.fl.us/DepNexus/public/electronic-documents/OG_1324/facility!search","OG_1324_Docs")</f>
        <v>OG_1324_Docs</v>
      </c>
      <c r="E1409" s="57" t="str">
        <f>HYPERLINK("https://ca.dep.state.fl.us/mapdirect/?focus=oilandgas&amp;zoom=query&amp;querytype=oilandgas&amp;queryvalues=OG_1324","OG_1324_Map")</f>
        <v>OG_1324_Map</v>
      </c>
      <c r="F1409" s="1" t="s">
        <v>2697</v>
      </c>
      <c r="G1409" s="1" t="s">
        <v>79</v>
      </c>
      <c r="H1409" s="1" t="s">
        <v>16192</v>
      </c>
      <c r="I1409" s="1" t="s">
        <v>16219</v>
      </c>
      <c r="J1409" s="17" t="s">
        <v>207</v>
      </c>
      <c r="K1409" s="17" t="s">
        <v>15512</v>
      </c>
      <c r="L1409" s="17"/>
      <c r="M1409" s="17" t="s">
        <v>207</v>
      </c>
      <c r="N1409" s="52" t="s">
        <v>207</v>
      </c>
      <c r="O1409" s="17" t="s">
        <v>86</v>
      </c>
      <c r="P1409" s="17" t="s">
        <v>86</v>
      </c>
      <c r="Q1409" s="81" t="s">
        <v>16195</v>
      </c>
      <c r="R1409" s="11">
        <v>27.154205999999999</v>
      </c>
      <c r="S1409" s="11">
        <v>-81.336146999999997</v>
      </c>
      <c r="T1409" s="11" t="s">
        <v>16220</v>
      </c>
      <c r="U1409" s="11" t="s">
        <v>16221</v>
      </c>
      <c r="V1409" s="17" t="s">
        <v>16222</v>
      </c>
      <c r="W1409" s="17" t="s">
        <v>207</v>
      </c>
      <c r="X1409" s="70"/>
      <c r="Y1409" s="70">
        <v>172</v>
      </c>
      <c r="Z1409" s="13"/>
      <c r="AA1409" s="13"/>
      <c r="AB1409" s="14"/>
      <c r="AC1409" s="14"/>
      <c r="AD1409" s="70"/>
      <c r="AE1409" s="70"/>
      <c r="AF1409" s="70" t="s">
        <v>207</v>
      </c>
      <c r="AG1409" s="14" t="s">
        <v>207</v>
      </c>
      <c r="AH1409" s="14" t="s">
        <v>207</v>
      </c>
      <c r="AI1409" s="70" t="s">
        <v>207</v>
      </c>
      <c r="AJ1409" s="14" t="s">
        <v>207</v>
      </c>
      <c r="AK1409" s="14" t="s">
        <v>207</v>
      </c>
      <c r="AL1409" s="14" t="s">
        <v>207</v>
      </c>
      <c r="AM1409" s="14" t="s">
        <v>207</v>
      </c>
      <c r="AN1409" s="14" t="s">
        <v>207</v>
      </c>
      <c r="AO1409" s="14" t="s">
        <v>207</v>
      </c>
      <c r="AP1409" s="14" t="s">
        <v>207</v>
      </c>
      <c r="AQ1409" s="14" t="s">
        <v>207</v>
      </c>
      <c r="AR1409" s="14" t="s">
        <v>207</v>
      </c>
      <c r="AS1409" s="14" t="s">
        <v>207</v>
      </c>
      <c r="AT1409" s="14" t="s">
        <v>207</v>
      </c>
      <c r="AU1409" s="30" t="s">
        <v>1843</v>
      </c>
      <c r="AV1409" s="14" t="s">
        <v>207</v>
      </c>
      <c r="AW1409" s="74"/>
      <c r="AX1409" s="17" t="s">
        <v>15512</v>
      </c>
      <c r="AY1409" s="17" t="s">
        <v>101</v>
      </c>
    </row>
    <row r="1410" spans="1:51" ht="12.75" customHeight="1" x14ac:dyDescent="0.25">
      <c r="A1410" s="5">
        <v>1325</v>
      </c>
      <c r="B1410" s="9">
        <v>1325</v>
      </c>
      <c r="C1410" s="9" t="s">
        <v>16223</v>
      </c>
      <c r="D1410" s="57" t="str">
        <f>HYPERLINK("http://prodenv.dep.state.fl.us/DepNexus/public/electronic-documents/OG_1325/facility!search","OG_1325_Docs")</f>
        <v>OG_1325_Docs</v>
      </c>
      <c r="E1410" s="57" t="str">
        <f>HYPERLINK("https://ca.dep.state.fl.us/mapdirect/?focus=oilandgas&amp;zoom=query&amp;querytype=oilandgas&amp;queryvalues=OG_1325","OG_1325_Map")</f>
        <v>OG_1325_Map</v>
      </c>
      <c r="F1410" s="1" t="s">
        <v>2697</v>
      </c>
      <c r="G1410" s="1" t="s">
        <v>79</v>
      </c>
      <c r="H1410" s="1" t="s">
        <v>16192</v>
      </c>
      <c r="I1410" s="1" t="s">
        <v>16224</v>
      </c>
      <c r="J1410" s="17" t="s">
        <v>207</v>
      </c>
      <c r="K1410" s="17" t="s">
        <v>15512</v>
      </c>
      <c r="L1410" s="17"/>
      <c r="M1410" s="17" t="s">
        <v>207</v>
      </c>
      <c r="N1410" s="52" t="s">
        <v>207</v>
      </c>
      <c r="O1410" s="17" t="s">
        <v>86</v>
      </c>
      <c r="P1410" s="17" t="s">
        <v>86</v>
      </c>
      <c r="Q1410" s="81" t="s">
        <v>16195</v>
      </c>
      <c r="R1410" s="11">
        <v>27.154246000000001</v>
      </c>
      <c r="S1410" s="11">
        <v>-81.336222000000006</v>
      </c>
      <c r="T1410" s="11" t="s">
        <v>16225</v>
      </c>
      <c r="U1410" s="11" t="s">
        <v>16226</v>
      </c>
      <c r="V1410" s="17" t="s">
        <v>16227</v>
      </c>
      <c r="W1410" s="17" t="s">
        <v>207</v>
      </c>
      <c r="X1410" s="70"/>
      <c r="Y1410" s="70">
        <v>172</v>
      </c>
      <c r="Z1410" s="13"/>
      <c r="AA1410" s="13"/>
      <c r="AB1410" s="14"/>
      <c r="AC1410" s="14"/>
      <c r="AD1410" s="70"/>
      <c r="AE1410" s="70"/>
      <c r="AF1410" s="70" t="s">
        <v>207</v>
      </c>
      <c r="AG1410" s="14" t="s">
        <v>207</v>
      </c>
      <c r="AH1410" s="14" t="s">
        <v>207</v>
      </c>
      <c r="AI1410" s="70" t="s">
        <v>207</v>
      </c>
      <c r="AJ1410" s="14" t="s">
        <v>207</v>
      </c>
      <c r="AK1410" s="14" t="s">
        <v>207</v>
      </c>
      <c r="AL1410" s="14" t="s">
        <v>207</v>
      </c>
      <c r="AM1410" s="14" t="s">
        <v>207</v>
      </c>
      <c r="AN1410" s="14" t="s">
        <v>207</v>
      </c>
      <c r="AO1410" s="14" t="s">
        <v>207</v>
      </c>
      <c r="AP1410" s="14" t="s">
        <v>207</v>
      </c>
      <c r="AQ1410" s="14" t="s">
        <v>207</v>
      </c>
      <c r="AR1410" s="14" t="s">
        <v>207</v>
      </c>
      <c r="AS1410" s="14" t="s">
        <v>207</v>
      </c>
      <c r="AT1410" s="14" t="s">
        <v>207</v>
      </c>
      <c r="AU1410" s="30" t="s">
        <v>1843</v>
      </c>
      <c r="AV1410" s="14" t="s">
        <v>207</v>
      </c>
      <c r="AW1410" s="74"/>
      <c r="AX1410" s="17" t="s">
        <v>15512</v>
      </c>
      <c r="AY1410" s="17" t="s">
        <v>101</v>
      </c>
    </row>
    <row r="1411" spans="1:51" ht="12.75" customHeight="1" x14ac:dyDescent="0.25">
      <c r="A1411" s="5">
        <v>1326</v>
      </c>
      <c r="B1411" s="9">
        <v>1326</v>
      </c>
      <c r="C1411" s="9" t="s">
        <v>16228</v>
      </c>
      <c r="D1411" s="57" t="str">
        <f>HYPERLINK("http://prodenv.dep.state.fl.us/DepNexus/public/electronic-documents/OG_1326/facility!search","OG_1326_Docs")</f>
        <v>OG_1326_Docs</v>
      </c>
      <c r="E1411" s="57" t="str">
        <f>HYPERLINK("https://ca.dep.state.fl.us/mapdirect/?focus=oilandgas&amp;zoom=query&amp;querytype=oilandgas&amp;queryvalues=OG_1326","OG_1326_Map")</f>
        <v>OG_1326_Map</v>
      </c>
      <c r="F1411" s="1" t="s">
        <v>2697</v>
      </c>
      <c r="G1411" s="1" t="s">
        <v>79</v>
      </c>
      <c r="H1411" s="1" t="s">
        <v>16192</v>
      </c>
      <c r="I1411" s="1" t="s">
        <v>16229</v>
      </c>
      <c r="J1411" s="17" t="s">
        <v>207</v>
      </c>
      <c r="K1411" s="17" t="s">
        <v>15512</v>
      </c>
      <c r="L1411" s="17"/>
      <c r="M1411" s="17" t="s">
        <v>207</v>
      </c>
      <c r="N1411" s="52" t="s">
        <v>207</v>
      </c>
      <c r="O1411" s="17" t="s">
        <v>86</v>
      </c>
      <c r="P1411" s="17" t="s">
        <v>86</v>
      </c>
      <c r="Q1411" s="81" t="s">
        <v>16195</v>
      </c>
      <c r="R1411" s="11">
        <v>27.154283</v>
      </c>
      <c r="S1411" s="11">
        <v>-81.336295000000007</v>
      </c>
      <c r="T1411" s="11" t="s">
        <v>16230</v>
      </c>
      <c r="U1411" s="11" t="s">
        <v>16231</v>
      </c>
      <c r="V1411" s="17" t="s">
        <v>16232</v>
      </c>
      <c r="W1411" s="17" t="s">
        <v>207</v>
      </c>
      <c r="X1411" s="70"/>
      <c r="Y1411" s="70">
        <v>172</v>
      </c>
      <c r="Z1411" s="13"/>
      <c r="AA1411" s="13"/>
      <c r="AB1411" s="14"/>
      <c r="AC1411" s="14"/>
      <c r="AD1411" s="70"/>
      <c r="AE1411" s="70"/>
      <c r="AF1411" s="70" t="s">
        <v>207</v>
      </c>
      <c r="AG1411" s="14" t="s">
        <v>207</v>
      </c>
      <c r="AH1411" s="14" t="s">
        <v>207</v>
      </c>
      <c r="AI1411" s="70" t="s">
        <v>207</v>
      </c>
      <c r="AJ1411" s="14" t="s">
        <v>207</v>
      </c>
      <c r="AK1411" s="14" t="s">
        <v>207</v>
      </c>
      <c r="AL1411" s="14" t="s">
        <v>207</v>
      </c>
      <c r="AM1411" s="14" t="s">
        <v>207</v>
      </c>
      <c r="AN1411" s="14" t="s">
        <v>207</v>
      </c>
      <c r="AO1411" s="14" t="s">
        <v>207</v>
      </c>
      <c r="AP1411" s="14" t="s">
        <v>207</v>
      </c>
      <c r="AQ1411" s="14" t="s">
        <v>207</v>
      </c>
      <c r="AR1411" s="14" t="s">
        <v>207</v>
      </c>
      <c r="AS1411" s="14" t="s">
        <v>207</v>
      </c>
      <c r="AT1411" s="14" t="s">
        <v>207</v>
      </c>
      <c r="AU1411" s="30" t="s">
        <v>1843</v>
      </c>
      <c r="AV1411" s="14" t="s">
        <v>207</v>
      </c>
      <c r="AW1411" s="74"/>
      <c r="AX1411" s="17" t="s">
        <v>15512</v>
      </c>
      <c r="AY1411" s="17" t="s">
        <v>101</v>
      </c>
    </row>
    <row r="1412" spans="1:51" ht="12.75" customHeight="1" x14ac:dyDescent="0.25">
      <c r="A1412" s="5">
        <v>1327</v>
      </c>
      <c r="B1412" s="9">
        <v>1327</v>
      </c>
      <c r="C1412" s="9" t="s">
        <v>16233</v>
      </c>
      <c r="D1412" s="57" t="str">
        <f>HYPERLINK("http://prodenv.dep.state.fl.us/DepNexus/public/electronic-documents/OG_1327/facility!search","OG_1327_Docs")</f>
        <v>OG_1327_Docs</v>
      </c>
      <c r="E1412" s="57" t="str">
        <f>HYPERLINK("https://ca.dep.state.fl.us/mapdirect/?focus=oilandgas&amp;zoom=query&amp;querytype=oilandgas&amp;queryvalues=OG_1327","OG_1327_Map")</f>
        <v>OG_1327_Map</v>
      </c>
      <c r="F1412" s="1" t="s">
        <v>327</v>
      </c>
      <c r="G1412" s="1" t="s">
        <v>79</v>
      </c>
      <c r="H1412" s="1" t="s">
        <v>16234</v>
      </c>
      <c r="I1412" s="1" t="s">
        <v>98</v>
      </c>
      <c r="J1412" s="17" t="s">
        <v>207</v>
      </c>
      <c r="K1412" s="17" t="s">
        <v>15512</v>
      </c>
      <c r="L1412" s="17"/>
      <c r="M1412" s="17" t="s">
        <v>207</v>
      </c>
      <c r="N1412" s="52" t="s">
        <v>207</v>
      </c>
      <c r="O1412" s="17" t="s">
        <v>86</v>
      </c>
      <c r="P1412" s="17" t="s">
        <v>86</v>
      </c>
      <c r="Q1412" s="81" t="s">
        <v>16235</v>
      </c>
      <c r="R1412" s="11">
        <v>28.953050000000001</v>
      </c>
      <c r="S1412" s="11">
        <v>-80.972497000000004</v>
      </c>
      <c r="T1412" s="11" t="s">
        <v>16236</v>
      </c>
      <c r="U1412" s="11" t="s">
        <v>16237</v>
      </c>
      <c r="V1412" s="17" t="s">
        <v>16238</v>
      </c>
      <c r="W1412" s="17" t="s">
        <v>207</v>
      </c>
      <c r="X1412" s="70"/>
      <c r="Y1412" s="70"/>
      <c r="Z1412" s="13"/>
      <c r="AA1412" s="13"/>
      <c r="AB1412" s="14"/>
      <c r="AC1412" s="14"/>
      <c r="AD1412" s="70"/>
      <c r="AE1412" s="70"/>
      <c r="AF1412" s="70" t="s">
        <v>207</v>
      </c>
      <c r="AG1412" s="14" t="s">
        <v>207</v>
      </c>
      <c r="AH1412" s="14" t="s">
        <v>207</v>
      </c>
      <c r="AI1412" s="70" t="s">
        <v>207</v>
      </c>
      <c r="AJ1412" s="14" t="s">
        <v>207</v>
      </c>
      <c r="AK1412" s="14" t="s">
        <v>207</v>
      </c>
      <c r="AL1412" s="14" t="s">
        <v>207</v>
      </c>
      <c r="AM1412" s="14" t="s">
        <v>207</v>
      </c>
      <c r="AN1412" s="14" t="s">
        <v>207</v>
      </c>
      <c r="AO1412" s="14" t="s">
        <v>207</v>
      </c>
      <c r="AP1412" s="14" t="s">
        <v>207</v>
      </c>
      <c r="AQ1412" s="14" t="s">
        <v>207</v>
      </c>
      <c r="AR1412" s="14" t="s">
        <v>207</v>
      </c>
      <c r="AS1412" s="14" t="s">
        <v>207</v>
      </c>
      <c r="AT1412" s="14" t="s">
        <v>207</v>
      </c>
      <c r="AU1412" s="30" t="s">
        <v>1843</v>
      </c>
      <c r="AV1412" s="14" t="s">
        <v>207</v>
      </c>
      <c r="AW1412" s="74"/>
      <c r="AX1412" s="17" t="s">
        <v>15512</v>
      </c>
      <c r="AY1412" s="17" t="s">
        <v>101</v>
      </c>
    </row>
    <row r="1413" spans="1:51" ht="12.75" customHeight="1" x14ac:dyDescent="0.25">
      <c r="A1413" s="5">
        <v>1328</v>
      </c>
      <c r="B1413" s="9">
        <v>1328</v>
      </c>
      <c r="C1413" s="9" t="s">
        <v>16239</v>
      </c>
      <c r="D1413" s="57" t="str">
        <f>HYPERLINK("http://prodenv.dep.state.fl.us/DepNexus/public/electronic-documents/OG_1328/facility!search","OG_1328_Docs")</f>
        <v>OG_1328_Docs</v>
      </c>
      <c r="E1413" s="57" t="str">
        <f>HYPERLINK("https://ca.dep.state.fl.us/mapdirect/?focus=oilandgas&amp;zoom=query&amp;querytype=oilandgas&amp;queryvalues=OG_1328","OG_1328_Map")</f>
        <v>OG_1328_Map</v>
      </c>
      <c r="F1413" s="1" t="s">
        <v>1797</v>
      </c>
      <c r="G1413" s="1" t="s">
        <v>79</v>
      </c>
      <c r="H1413" s="1" t="s">
        <v>15292</v>
      </c>
      <c r="I1413" s="1" t="s">
        <v>98</v>
      </c>
      <c r="J1413" s="17" t="s">
        <v>207</v>
      </c>
      <c r="K1413" s="17" t="s">
        <v>15512</v>
      </c>
      <c r="L1413" s="17"/>
      <c r="M1413" s="17" t="s">
        <v>207</v>
      </c>
      <c r="N1413" s="52" t="s">
        <v>207</v>
      </c>
      <c r="O1413" s="17" t="s">
        <v>86</v>
      </c>
      <c r="P1413" s="17" t="s">
        <v>86</v>
      </c>
      <c r="Q1413" s="81" t="s">
        <v>16240</v>
      </c>
      <c r="R1413" s="11">
        <v>30.665642999999999</v>
      </c>
      <c r="S1413" s="34">
        <v>-86.936885000000004</v>
      </c>
      <c r="T1413" s="11" t="s">
        <v>16241</v>
      </c>
      <c r="U1413" s="11" t="s">
        <v>16242</v>
      </c>
      <c r="V1413" s="17" t="s">
        <v>98</v>
      </c>
      <c r="W1413" s="17" t="s">
        <v>207</v>
      </c>
      <c r="X1413" s="70"/>
      <c r="Y1413" s="70"/>
      <c r="Z1413" s="13"/>
      <c r="AA1413" s="13"/>
      <c r="AB1413" s="14"/>
      <c r="AC1413" s="14"/>
      <c r="AD1413" s="70"/>
      <c r="AE1413" s="70"/>
      <c r="AF1413" s="70" t="s">
        <v>207</v>
      </c>
      <c r="AG1413" s="14" t="s">
        <v>207</v>
      </c>
      <c r="AH1413" s="14" t="s">
        <v>207</v>
      </c>
      <c r="AI1413" s="70" t="s">
        <v>207</v>
      </c>
      <c r="AJ1413" s="14" t="s">
        <v>207</v>
      </c>
      <c r="AK1413" s="14" t="s">
        <v>207</v>
      </c>
      <c r="AL1413" s="14" t="s">
        <v>207</v>
      </c>
      <c r="AM1413" s="14" t="s">
        <v>207</v>
      </c>
      <c r="AN1413" s="14" t="s">
        <v>207</v>
      </c>
      <c r="AO1413" s="14" t="s">
        <v>207</v>
      </c>
      <c r="AP1413" s="14" t="s">
        <v>207</v>
      </c>
      <c r="AQ1413" s="14" t="s">
        <v>207</v>
      </c>
      <c r="AR1413" s="14" t="s">
        <v>207</v>
      </c>
      <c r="AS1413" s="14" t="s">
        <v>207</v>
      </c>
      <c r="AT1413" s="14" t="s">
        <v>207</v>
      </c>
      <c r="AU1413" s="30" t="s">
        <v>1843</v>
      </c>
      <c r="AV1413" s="14" t="s">
        <v>207</v>
      </c>
      <c r="AW1413" s="74"/>
      <c r="AX1413" s="17" t="s">
        <v>15512</v>
      </c>
      <c r="AY1413" s="17" t="s">
        <v>101</v>
      </c>
    </row>
    <row r="1414" spans="1:51" ht="12.75" customHeight="1" x14ac:dyDescent="0.25">
      <c r="A1414" s="5">
        <v>1329</v>
      </c>
      <c r="B1414" s="9">
        <v>1329</v>
      </c>
      <c r="C1414" s="9" t="s">
        <v>16243</v>
      </c>
      <c r="D1414" s="57" t="str">
        <f>HYPERLINK("http://prodenv.dep.state.fl.us/DepNexus/public/electronic-documents/OG_1329/facility!search","OG_1329_Docs")</f>
        <v>OG_1329_Docs</v>
      </c>
      <c r="E1414" s="57" t="str">
        <f>HYPERLINK("https://ca.dep.state.fl.us/mapdirect/?focus=oilandgas&amp;zoom=query&amp;querytype=oilandgas&amp;queryvalues=OG_1329","OG_1329_Map")</f>
        <v>OG_1329_Map</v>
      </c>
      <c r="F1414" s="1" t="s">
        <v>829</v>
      </c>
      <c r="G1414" s="1" t="s">
        <v>79</v>
      </c>
      <c r="H1414" s="1" t="s">
        <v>16244</v>
      </c>
      <c r="I1414" s="1" t="s">
        <v>16245</v>
      </c>
      <c r="J1414" s="17" t="s">
        <v>82</v>
      </c>
      <c r="K1414" s="17" t="s">
        <v>83</v>
      </c>
      <c r="L1414" s="17"/>
      <c r="M1414" s="17" t="s">
        <v>101</v>
      </c>
      <c r="N1414" s="52"/>
      <c r="O1414" s="17" t="s">
        <v>86</v>
      </c>
      <c r="P1414" s="17" t="s">
        <v>86</v>
      </c>
      <c r="Q1414" s="81" t="s">
        <v>16246</v>
      </c>
      <c r="R1414" s="11">
        <v>30.714161000000001</v>
      </c>
      <c r="S1414" s="11">
        <v>-86.675011999999995</v>
      </c>
      <c r="T1414" s="11" t="s">
        <v>16247</v>
      </c>
      <c r="U1414" s="11" t="s">
        <v>16248</v>
      </c>
      <c r="V1414" s="17" t="s">
        <v>16249</v>
      </c>
      <c r="W1414" s="17" t="s">
        <v>16250</v>
      </c>
      <c r="X1414" s="70">
        <v>179.91</v>
      </c>
      <c r="Y1414" s="70">
        <v>154.91</v>
      </c>
      <c r="Z1414" s="13">
        <v>39805</v>
      </c>
      <c r="AA1414" s="13">
        <v>40038</v>
      </c>
      <c r="AB1414" s="13">
        <v>40076</v>
      </c>
      <c r="AC1414" s="13">
        <v>40085</v>
      </c>
      <c r="AD1414" s="86">
        <v>14931</v>
      </c>
      <c r="AE1414" s="86">
        <v>15000</v>
      </c>
      <c r="AF1414" s="70" t="s">
        <v>16251</v>
      </c>
      <c r="AG1414" s="17" t="s">
        <v>16252</v>
      </c>
      <c r="AH1414" s="17" t="s">
        <v>16253</v>
      </c>
      <c r="AI1414" s="72" t="s">
        <v>98</v>
      </c>
      <c r="AJ1414" s="20" t="s">
        <v>98</v>
      </c>
      <c r="AK1414" s="17"/>
      <c r="AL1414" s="17"/>
      <c r="AM1414" s="17"/>
      <c r="AN1414" s="17"/>
      <c r="AO1414" s="17"/>
      <c r="AP1414" s="17"/>
      <c r="AQ1414" s="17"/>
      <c r="AR1414" s="17"/>
      <c r="AS1414" s="23" t="s">
        <v>16254</v>
      </c>
      <c r="AT1414" s="17"/>
      <c r="AU1414" s="33" t="s">
        <v>16255</v>
      </c>
      <c r="AV1414" s="14">
        <v>19053</v>
      </c>
      <c r="AW1414" s="74"/>
      <c r="AX1414" s="1"/>
      <c r="AY1414" s="17" t="s">
        <v>101</v>
      </c>
    </row>
    <row r="1415" spans="1:51" ht="12.75" customHeight="1" x14ac:dyDescent="0.25">
      <c r="A1415" s="5">
        <v>1331</v>
      </c>
      <c r="B1415" s="9" t="s">
        <v>16256</v>
      </c>
      <c r="C1415" s="9" t="s">
        <v>16257</v>
      </c>
      <c r="D1415" s="57" t="str">
        <f>HYPERLINK("http://prodenv.dep.state.fl.us/DepNexus/public/electronic-documents/OG_1331/facility!search","OG_1331_Docs")</f>
        <v>OG_1331_Docs</v>
      </c>
      <c r="E1415" s="57" t="str">
        <f>HYPERLINK("https://ca.dep.state.fl.us/mapdirect/?focus=oilandgas&amp;zoom=query&amp;querytype=oilandgas&amp;queryvalues=OG_1331","OG_1331_Map")</f>
        <v>OG_1331_Map</v>
      </c>
      <c r="F1415" s="1" t="s">
        <v>265</v>
      </c>
      <c r="G1415" s="1" t="s">
        <v>10452</v>
      </c>
      <c r="H1415" s="1" t="s">
        <v>1363</v>
      </c>
      <c r="I1415" s="1" t="s">
        <v>16258</v>
      </c>
      <c r="J1415" s="17" t="s">
        <v>5107</v>
      </c>
      <c r="K1415" s="17" t="s">
        <v>412</v>
      </c>
      <c r="L1415" s="20" t="s">
        <v>101</v>
      </c>
      <c r="M1415" s="20" t="s">
        <v>101</v>
      </c>
      <c r="N1415" s="52" t="s">
        <v>16259</v>
      </c>
      <c r="O1415" s="17" t="s">
        <v>270</v>
      </c>
      <c r="P1415" s="17" t="s">
        <v>3395</v>
      </c>
      <c r="Q1415" s="81" t="s">
        <v>14530</v>
      </c>
      <c r="R1415" s="11">
        <v>26.001723999999999</v>
      </c>
      <c r="S1415" s="11">
        <v>-80.911361999999997</v>
      </c>
      <c r="T1415" s="11" t="s">
        <v>16260</v>
      </c>
      <c r="U1415" s="11" t="s">
        <v>16261</v>
      </c>
      <c r="V1415" s="17" t="s">
        <v>16262</v>
      </c>
      <c r="W1415" s="17" t="s">
        <v>16263</v>
      </c>
      <c r="X1415" s="70">
        <v>25.5</v>
      </c>
      <c r="Y1415" s="70">
        <v>11</v>
      </c>
      <c r="Z1415" s="13">
        <v>39701</v>
      </c>
      <c r="AA1415" s="13">
        <v>40271</v>
      </c>
      <c r="AB1415" s="13">
        <v>40306</v>
      </c>
      <c r="AC1415" s="13">
        <v>42500</v>
      </c>
      <c r="AD1415" s="86">
        <v>11379</v>
      </c>
      <c r="AE1415" s="86">
        <v>13464</v>
      </c>
      <c r="AF1415" s="70" t="s">
        <v>16264</v>
      </c>
      <c r="AG1415" s="17" t="s">
        <v>16265</v>
      </c>
      <c r="AH1415" s="17" t="s">
        <v>16266</v>
      </c>
      <c r="AI1415" s="70" t="s">
        <v>16267</v>
      </c>
      <c r="AJ1415" s="17" t="s">
        <v>98</v>
      </c>
      <c r="AK1415" s="17" t="s">
        <v>95</v>
      </c>
      <c r="AL1415" s="17" t="s">
        <v>95</v>
      </c>
      <c r="AM1415" s="17" t="s">
        <v>95</v>
      </c>
      <c r="AN1415" s="17" t="s">
        <v>98</v>
      </c>
      <c r="AO1415" s="17" t="s">
        <v>16268</v>
      </c>
      <c r="AP1415" s="17" t="s">
        <v>16269</v>
      </c>
      <c r="AQ1415" s="17" t="s">
        <v>16270</v>
      </c>
      <c r="AR1415" s="17" t="s">
        <v>16271</v>
      </c>
      <c r="AS1415" s="17" t="s">
        <v>16272</v>
      </c>
      <c r="AT1415" s="17">
        <v>163</v>
      </c>
      <c r="AU1415" s="32" t="s">
        <v>16273</v>
      </c>
      <c r="AV1415" s="14">
        <v>19204</v>
      </c>
      <c r="AW1415" s="74">
        <v>306466</v>
      </c>
      <c r="AX1415" s="1" t="s">
        <v>16274</v>
      </c>
      <c r="AY1415" s="17" t="s">
        <v>101</v>
      </c>
    </row>
    <row r="1416" spans="1:51" ht="12.75" customHeight="1" x14ac:dyDescent="0.25">
      <c r="A1416" s="5">
        <v>1332</v>
      </c>
      <c r="B1416" s="9">
        <v>1332</v>
      </c>
      <c r="C1416" s="9" t="s">
        <v>16275</v>
      </c>
      <c r="D1416" s="57" t="str">
        <f>HYPERLINK("http://prodenv.dep.state.fl.us/DepNexus/public/electronic-documents/OG_1332/facility!search","OG_1332_Docs")</f>
        <v>OG_1332_Docs</v>
      </c>
      <c r="E1416" s="57" t="str">
        <f>HYPERLINK("https://ca.dep.state.fl.us/mapdirect/?focus=oilandgas&amp;zoom=query&amp;querytype=oilandgas&amp;queryvalues=OG_1332","OG_1332_Map")</f>
        <v>OG_1332_Map</v>
      </c>
      <c r="F1416" s="1" t="s">
        <v>265</v>
      </c>
      <c r="G1416" s="1" t="s">
        <v>10452</v>
      </c>
      <c r="H1416" s="1" t="s">
        <v>12827</v>
      </c>
      <c r="I1416" s="24" t="s">
        <v>16276</v>
      </c>
      <c r="J1416" s="17" t="s">
        <v>268</v>
      </c>
      <c r="K1416" s="17" t="s">
        <v>16277</v>
      </c>
      <c r="L1416" s="20"/>
      <c r="M1416" s="20"/>
      <c r="N1416" s="52"/>
      <c r="O1416" s="17" t="s">
        <v>270</v>
      </c>
      <c r="P1416" s="17" t="s">
        <v>3395</v>
      </c>
      <c r="Q1416" s="81" t="s">
        <v>14530</v>
      </c>
      <c r="R1416" s="11">
        <v>26.001853000000001</v>
      </c>
      <c r="S1416" s="11">
        <v>-80.911303000000004</v>
      </c>
      <c r="T1416" s="11" t="s">
        <v>16278</v>
      </c>
      <c r="U1416" s="11" t="s">
        <v>16279</v>
      </c>
      <c r="V1416" s="20" t="s">
        <v>16280</v>
      </c>
      <c r="W1416" s="17" t="s">
        <v>16281</v>
      </c>
      <c r="X1416" s="72">
        <v>36.17</v>
      </c>
      <c r="Y1416" s="72">
        <v>10.67</v>
      </c>
      <c r="Z1416" s="13">
        <v>39773</v>
      </c>
      <c r="AA1416" s="13">
        <v>40534</v>
      </c>
      <c r="AB1416" s="13"/>
      <c r="AC1416" s="13">
        <v>40583</v>
      </c>
      <c r="AD1416" s="86">
        <v>11544</v>
      </c>
      <c r="AE1416" s="86">
        <v>12195</v>
      </c>
      <c r="AF1416" s="70" t="s">
        <v>16282</v>
      </c>
      <c r="AG1416" s="17" t="s">
        <v>16283</v>
      </c>
      <c r="AH1416" s="17" t="s">
        <v>16284</v>
      </c>
      <c r="AI1416" s="70" t="s">
        <v>16285</v>
      </c>
      <c r="AJ1416" s="17" t="s">
        <v>98</v>
      </c>
      <c r="AK1416" s="17"/>
      <c r="AL1416" s="17"/>
      <c r="AM1416" s="17"/>
      <c r="AN1416" s="17" t="s">
        <v>94</v>
      </c>
      <c r="AO1416" s="17" t="s">
        <v>94</v>
      </c>
      <c r="AP1416" s="17" t="s">
        <v>94</v>
      </c>
      <c r="AQ1416" s="17" t="s">
        <v>94</v>
      </c>
      <c r="AR1416" s="17" t="s">
        <v>94</v>
      </c>
      <c r="AS1416" s="17"/>
      <c r="AT1416" s="17"/>
      <c r="AU1416" s="31" t="s">
        <v>16286</v>
      </c>
      <c r="AV1416" s="14"/>
      <c r="AW1416" s="74">
        <v>306766</v>
      </c>
      <c r="AX1416" s="1"/>
      <c r="AY1416" s="17" t="s">
        <v>101</v>
      </c>
    </row>
    <row r="1417" spans="1:51" ht="12.75" customHeight="1" x14ac:dyDescent="0.25">
      <c r="A1417" s="5">
        <v>1332.1</v>
      </c>
      <c r="B1417" s="9" t="s">
        <v>16287</v>
      </c>
      <c r="C1417" s="9" t="s">
        <v>16275</v>
      </c>
      <c r="D1417" s="57" t="str">
        <f>HYPERLINK("http://prodenv.dep.state.fl.us/DepNexus/public/electronic-documents/OG_1332/facility!search","OG_1332_Docs")</f>
        <v>OG_1332_Docs</v>
      </c>
      <c r="E1417" s="57" t="str">
        <f>HYPERLINK("https://ca.dep.state.fl.us/mapdirect/?focus=oilandgas&amp;zoom=query&amp;querytype=oilandgas&amp;queryvalues=OG_1332","OG_1332_Map")</f>
        <v>OG_1332_Map</v>
      </c>
      <c r="F1417" s="24" t="s">
        <v>265</v>
      </c>
      <c r="G1417" s="1" t="s">
        <v>10452</v>
      </c>
      <c r="H1417" s="1" t="s">
        <v>1363</v>
      </c>
      <c r="I1417" s="1" t="s">
        <v>16288</v>
      </c>
      <c r="J1417" s="17" t="s">
        <v>3646</v>
      </c>
      <c r="K1417" s="17" t="s">
        <v>412</v>
      </c>
      <c r="L1417" s="17"/>
      <c r="M1417" s="17"/>
      <c r="N1417" s="53" t="s">
        <v>16289</v>
      </c>
      <c r="O1417" s="17" t="s">
        <v>270</v>
      </c>
      <c r="P1417" s="17" t="s">
        <v>3395</v>
      </c>
      <c r="Q1417" s="81" t="s">
        <v>14530</v>
      </c>
      <c r="R1417" s="11">
        <v>26.001853000000001</v>
      </c>
      <c r="S1417" s="11">
        <v>-80.911303000000004</v>
      </c>
      <c r="T1417" s="11" t="s">
        <v>16278</v>
      </c>
      <c r="U1417" s="11" t="s">
        <v>16279</v>
      </c>
      <c r="V1417" s="20" t="s">
        <v>16280</v>
      </c>
      <c r="W1417" s="20" t="s">
        <v>16290</v>
      </c>
      <c r="X1417" s="72">
        <v>36.17</v>
      </c>
      <c r="Y1417" s="72">
        <v>10.67</v>
      </c>
      <c r="Z1417" s="13">
        <v>40330</v>
      </c>
      <c r="AA1417" s="13">
        <v>40534</v>
      </c>
      <c r="AB1417" s="13">
        <v>40644</v>
      </c>
      <c r="AC1417" s="13"/>
      <c r="AD1417" s="86">
        <v>11386</v>
      </c>
      <c r="AE1417" s="86">
        <v>13880</v>
      </c>
      <c r="AF1417" s="70" t="s">
        <v>16282</v>
      </c>
      <c r="AG1417" s="17" t="s">
        <v>16283</v>
      </c>
      <c r="AH1417" s="17" t="s">
        <v>16284</v>
      </c>
      <c r="AI1417" s="70" t="s">
        <v>16285</v>
      </c>
      <c r="AJ1417" s="20" t="s">
        <v>16291</v>
      </c>
      <c r="AK1417" s="17" t="s">
        <v>95</v>
      </c>
      <c r="AL1417" s="17"/>
      <c r="AM1417" s="17"/>
      <c r="AN1417" s="17" t="s">
        <v>98</v>
      </c>
      <c r="AO1417" s="20" t="s">
        <v>98</v>
      </c>
      <c r="AP1417" s="20" t="s">
        <v>98</v>
      </c>
      <c r="AQ1417" s="20" t="s">
        <v>98</v>
      </c>
      <c r="AR1417" s="23" t="s">
        <v>16292</v>
      </c>
      <c r="AS1417" s="17"/>
      <c r="AT1417" s="17">
        <v>177</v>
      </c>
      <c r="AU1417" s="32" t="s">
        <v>16293</v>
      </c>
      <c r="AV1417" s="14">
        <v>19259</v>
      </c>
      <c r="AW1417" s="74">
        <v>306766</v>
      </c>
      <c r="AX1417" s="1"/>
      <c r="AY1417" s="17" t="s">
        <v>101</v>
      </c>
    </row>
    <row r="1418" spans="1:51" ht="15" customHeight="1" x14ac:dyDescent="0.25">
      <c r="A1418" s="5">
        <v>1333</v>
      </c>
      <c r="B1418" s="9" t="s">
        <v>16294</v>
      </c>
      <c r="C1418" s="9" t="s">
        <v>16295</v>
      </c>
      <c r="D1418" s="57" t="str">
        <f>HYPERLINK("http://prodenv.dep.state.fl.us/DepNexus/public/electronic-documents/OG_1333/facility!search","OG_1333_Docs")</f>
        <v>OG_1333_Docs</v>
      </c>
      <c r="E1418" s="57" t="str">
        <f>HYPERLINK("https://ca.dep.state.fl.us/mapdirect/?focus=oilandgas&amp;zoom=query&amp;querytype=oilandgas&amp;queryvalues=OG_1333","OG_1333_Map")</f>
        <v>OG_1333_Map</v>
      </c>
      <c r="F1418" s="1" t="s">
        <v>265</v>
      </c>
      <c r="G1418" s="1" t="s">
        <v>10452</v>
      </c>
      <c r="H1418" s="1" t="s">
        <v>1363</v>
      </c>
      <c r="I1418" s="1" t="s">
        <v>16296</v>
      </c>
      <c r="J1418" s="17" t="s">
        <v>3646</v>
      </c>
      <c r="K1418" s="17" t="s">
        <v>412</v>
      </c>
      <c r="L1418" s="17"/>
      <c r="M1418" s="17"/>
      <c r="N1418" s="52" t="s">
        <v>16297</v>
      </c>
      <c r="O1418" s="17" t="s">
        <v>270</v>
      </c>
      <c r="P1418" s="17" t="s">
        <v>3395</v>
      </c>
      <c r="Q1418" s="81" t="s">
        <v>14530</v>
      </c>
      <c r="R1418" s="11">
        <v>26.001512000000002</v>
      </c>
      <c r="S1418" s="11">
        <v>-80.911292000000003</v>
      </c>
      <c r="T1418" s="11" t="s">
        <v>16298</v>
      </c>
      <c r="U1418" s="11" t="s">
        <v>16299</v>
      </c>
      <c r="V1418" s="17" t="s">
        <v>16300</v>
      </c>
      <c r="W1418" s="17" t="s">
        <v>16301</v>
      </c>
      <c r="X1418" s="70">
        <v>25.5</v>
      </c>
      <c r="Y1418" s="70">
        <v>10.6</v>
      </c>
      <c r="Z1418" s="13">
        <v>40275</v>
      </c>
      <c r="AA1418" s="13">
        <v>40453</v>
      </c>
      <c r="AB1418" s="13">
        <v>40549</v>
      </c>
      <c r="AC1418" s="13"/>
      <c r="AD1418" s="86">
        <v>11388</v>
      </c>
      <c r="AE1418" s="86">
        <v>13405</v>
      </c>
      <c r="AF1418" s="70" t="s">
        <v>16302</v>
      </c>
      <c r="AG1418" s="17" t="s">
        <v>16303</v>
      </c>
      <c r="AH1418" s="20" t="s">
        <v>16284</v>
      </c>
      <c r="AI1418" s="70" t="s">
        <v>16304</v>
      </c>
      <c r="AJ1418" s="20" t="s">
        <v>16305</v>
      </c>
      <c r="AK1418" s="20" t="s">
        <v>95</v>
      </c>
      <c r="AL1418" s="17"/>
      <c r="AM1418" s="17"/>
      <c r="AN1418" s="17"/>
      <c r="AO1418" s="20" t="s">
        <v>16306</v>
      </c>
      <c r="AP1418" s="20" t="s">
        <v>98</v>
      </c>
      <c r="AQ1418" s="20" t="s">
        <v>16307</v>
      </c>
      <c r="AR1418" s="23" t="s">
        <v>16308</v>
      </c>
      <c r="AS1418" s="17"/>
      <c r="AT1418" s="17">
        <v>167</v>
      </c>
      <c r="AU1418" s="31" t="s">
        <v>16309</v>
      </c>
      <c r="AV1418" s="14">
        <v>19248</v>
      </c>
      <c r="AW1418" s="74">
        <v>305022</v>
      </c>
      <c r="AX1418" s="73" t="s">
        <v>16310</v>
      </c>
      <c r="AY1418" s="17" t="s">
        <v>101</v>
      </c>
    </row>
    <row r="1419" spans="1:51" ht="15" customHeight="1" x14ac:dyDescent="0.25">
      <c r="A1419" s="5">
        <v>1335</v>
      </c>
      <c r="B1419" s="9">
        <v>1335</v>
      </c>
      <c r="C1419" s="9" t="s">
        <v>16311</v>
      </c>
      <c r="D1419" s="57" t="str">
        <f>HYPERLINK("http://prodenv.dep.state.fl.us/DepNexus/public/electronic-documents/OG_1335/facility!search","OG_1335_Docs")</f>
        <v>OG_1335_Docs</v>
      </c>
      <c r="E1419" s="57" t="str">
        <f>HYPERLINK("https://ca.dep.state.fl.us/mapdirect/?focus=oilandgas&amp;zoom=query&amp;querytype=oilandgas&amp;queryvalues=OG_1335","OG_1335_Map")</f>
        <v>OG_1335_Map</v>
      </c>
      <c r="F1419" s="1" t="s">
        <v>265</v>
      </c>
      <c r="G1419" s="1" t="s">
        <v>79</v>
      </c>
      <c r="H1419" s="24" t="s">
        <v>16312</v>
      </c>
      <c r="I1419" s="1" t="s">
        <v>16313</v>
      </c>
      <c r="J1419" s="23" t="s">
        <v>5107</v>
      </c>
      <c r="K1419" s="23" t="s">
        <v>83</v>
      </c>
      <c r="L1419" s="17"/>
      <c r="M1419" s="17"/>
      <c r="N1419" s="52" t="s">
        <v>16314</v>
      </c>
      <c r="O1419" s="17" t="s">
        <v>86</v>
      </c>
      <c r="P1419" s="17" t="s">
        <v>86</v>
      </c>
      <c r="Q1419" s="81" t="s">
        <v>15148</v>
      </c>
      <c r="R1419" s="11">
        <v>26.447495</v>
      </c>
      <c r="S1419" s="11">
        <v>-81.557972000000007</v>
      </c>
      <c r="T1419" s="11" t="s">
        <v>16315</v>
      </c>
      <c r="U1419" s="11" t="s">
        <v>16316</v>
      </c>
      <c r="V1419" s="17" t="s">
        <v>16317</v>
      </c>
      <c r="W1419" s="17" t="s">
        <v>16318</v>
      </c>
      <c r="X1419" s="70">
        <v>41.31</v>
      </c>
      <c r="Y1419" s="70">
        <v>21.82</v>
      </c>
      <c r="Z1419" s="13">
        <v>40744</v>
      </c>
      <c r="AA1419" s="13">
        <v>40922</v>
      </c>
      <c r="AB1419" s="13">
        <v>40979</v>
      </c>
      <c r="AC1419" s="13">
        <v>42285</v>
      </c>
      <c r="AD1419" s="86">
        <v>11910</v>
      </c>
      <c r="AE1419" s="86">
        <v>11910</v>
      </c>
      <c r="AF1419" s="70" t="s">
        <v>16319</v>
      </c>
      <c r="AG1419" s="17" t="s">
        <v>16320</v>
      </c>
      <c r="AH1419" s="17" t="s">
        <v>16321</v>
      </c>
      <c r="AI1419" s="70" t="s">
        <v>16322</v>
      </c>
      <c r="AJ1419" s="27" t="s">
        <v>16323</v>
      </c>
      <c r="AK1419" s="21"/>
      <c r="AL1419" s="21"/>
      <c r="AM1419" s="21"/>
      <c r="AN1419" s="21"/>
      <c r="AO1419" s="27" t="s">
        <v>3366</v>
      </c>
      <c r="AP1419" s="27" t="s">
        <v>6135</v>
      </c>
      <c r="AQ1419" s="27" t="s">
        <v>425</v>
      </c>
      <c r="AR1419" s="27" t="s">
        <v>16324</v>
      </c>
      <c r="AS1419" s="27" t="s">
        <v>16325</v>
      </c>
      <c r="AT1419" s="21"/>
      <c r="AU1419" s="31" t="s">
        <v>16326</v>
      </c>
      <c r="AV1419" s="14">
        <v>19339</v>
      </c>
      <c r="AW1419" s="74">
        <v>313880</v>
      </c>
      <c r="AX1419" s="73" t="s">
        <v>16327</v>
      </c>
      <c r="AY1419" s="17" t="s">
        <v>101</v>
      </c>
    </row>
    <row r="1420" spans="1:51" ht="15" customHeight="1" x14ac:dyDescent="0.25">
      <c r="A1420" s="5">
        <v>1335.1</v>
      </c>
      <c r="B1420" s="9" t="s">
        <v>16328</v>
      </c>
      <c r="C1420" s="9" t="s">
        <v>16311</v>
      </c>
      <c r="D1420" s="57" t="str">
        <f>HYPERLINK("http://prodenv.dep.state.fl.us/DepNexus/public/electronic-documents/OG_1335/facility!search","OG_1335_Docs")</f>
        <v>OG_1335_Docs</v>
      </c>
      <c r="E1420" s="57" t="str">
        <f>HYPERLINK("https://ca.dep.state.fl.us/mapdirect/?focus=oilandgas&amp;zoom=query&amp;querytype=oilandgas&amp;queryvalues=OG_1335","OG_1335_Map")</f>
        <v>OG_1335_Map</v>
      </c>
      <c r="F1420" s="1" t="s">
        <v>265</v>
      </c>
      <c r="G1420" s="1" t="s">
        <v>79</v>
      </c>
      <c r="H1420" s="24" t="s">
        <v>16312</v>
      </c>
      <c r="I1420" s="24" t="s">
        <v>16329</v>
      </c>
      <c r="J1420" s="17" t="s">
        <v>82</v>
      </c>
      <c r="K1420" s="23" t="s">
        <v>83</v>
      </c>
      <c r="L1420" s="17"/>
      <c r="M1420" s="17"/>
      <c r="N1420" s="52"/>
      <c r="O1420" s="17" t="s">
        <v>86</v>
      </c>
      <c r="P1420" s="17" t="s">
        <v>86</v>
      </c>
      <c r="Q1420" s="81" t="s">
        <v>15148</v>
      </c>
      <c r="R1420" s="11">
        <v>26.447495</v>
      </c>
      <c r="S1420" s="11">
        <v>-81.557972000000007</v>
      </c>
      <c r="T1420" s="11" t="s">
        <v>16315</v>
      </c>
      <c r="U1420" s="11" t="s">
        <v>16316</v>
      </c>
      <c r="V1420" s="17" t="s">
        <v>16317</v>
      </c>
      <c r="W1420" s="23" t="s">
        <v>16330</v>
      </c>
      <c r="X1420" s="70"/>
      <c r="Y1420" s="70">
        <v>20.5</v>
      </c>
      <c r="Z1420" s="13">
        <v>41201</v>
      </c>
      <c r="AA1420" s="13">
        <v>41204</v>
      </c>
      <c r="AB1420" s="13"/>
      <c r="AC1420" s="13">
        <v>41237</v>
      </c>
      <c r="AD1420" s="86">
        <v>11714</v>
      </c>
      <c r="AE1420" s="86">
        <v>12573</v>
      </c>
      <c r="AF1420" s="70" t="s">
        <v>16319</v>
      </c>
      <c r="AG1420" s="23" t="s">
        <v>16320</v>
      </c>
      <c r="AH1420" s="23" t="s">
        <v>16321</v>
      </c>
      <c r="AI1420" s="70"/>
      <c r="AJ1420" s="17"/>
      <c r="AK1420" s="17"/>
      <c r="AL1420" s="17"/>
      <c r="AM1420" s="17"/>
      <c r="AN1420" s="17"/>
      <c r="AO1420" s="17"/>
      <c r="AP1420" s="17"/>
      <c r="AQ1420" s="17"/>
      <c r="AR1420" s="17"/>
      <c r="AS1420" s="17"/>
      <c r="AT1420" s="17"/>
      <c r="AU1420" s="32" t="s">
        <v>16331</v>
      </c>
      <c r="AV1420" s="14"/>
      <c r="AW1420" s="74">
        <v>313880</v>
      </c>
      <c r="AX1420" s="1"/>
      <c r="AY1420" s="17" t="s">
        <v>101</v>
      </c>
    </row>
    <row r="1421" spans="1:51" ht="15" customHeight="1" x14ac:dyDescent="0.25">
      <c r="A1421" s="5">
        <v>1335.2</v>
      </c>
      <c r="B1421" s="9" t="s">
        <v>16332</v>
      </c>
      <c r="C1421" s="9" t="s">
        <v>16311</v>
      </c>
      <c r="D1421" s="57" t="str">
        <f>HYPERLINK("http://prodenv.dep.state.fl.us/DepNexus/public/electronic-documents/OG_1335/facility!search","OG_1335_Docs")</f>
        <v>OG_1335_Docs</v>
      </c>
      <c r="E1421" s="57" t="str">
        <f>HYPERLINK("https://ca.dep.state.fl.us/mapdirect/?focus=oilandgas&amp;zoom=query&amp;querytype=oilandgas&amp;queryvalues=OG_1335","OG_1335_Map")</f>
        <v>OG_1335_Map</v>
      </c>
      <c r="F1421" s="1" t="s">
        <v>265</v>
      </c>
      <c r="G1421" s="1" t="s">
        <v>79</v>
      </c>
      <c r="H1421" s="24" t="s">
        <v>16333</v>
      </c>
      <c r="I1421" s="24" t="s">
        <v>16334</v>
      </c>
      <c r="J1421" s="17" t="s">
        <v>207</v>
      </c>
      <c r="K1421" s="17" t="s">
        <v>14534</v>
      </c>
      <c r="L1421" s="17"/>
      <c r="M1421" s="17" t="s">
        <v>207</v>
      </c>
      <c r="N1421" s="52" t="s">
        <v>207</v>
      </c>
      <c r="O1421" s="17" t="s">
        <v>86</v>
      </c>
      <c r="P1421" s="17" t="s">
        <v>86</v>
      </c>
      <c r="Q1421" s="81" t="s">
        <v>15148</v>
      </c>
      <c r="R1421" s="11">
        <v>26.447495</v>
      </c>
      <c r="S1421" s="11">
        <v>-81.557972000000007</v>
      </c>
      <c r="T1421" s="11" t="s">
        <v>16315</v>
      </c>
      <c r="U1421" s="11" t="s">
        <v>16316</v>
      </c>
      <c r="V1421" s="17" t="s">
        <v>16317</v>
      </c>
      <c r="W1421" s="17"/>
      <c r="X1421" s="70"/>
      <c r="Y1421" s="70"/>
      <c r="Z1421" s="26"/>
      <c r="AA1421" s="13"/>
      <c r="AB1421" s="13"/>
      <c r="AC1421" s="13"/>
      <c r="AD1421" s="70"/>
      <c r="AE1421" s="70"/>
      <c r="AF1421" s="70" t="s">
        <v>207</v>
      </c>
      <c r="AG1421" s="13" t="s">
        <v>207</v>
      </c>
      <c r="AH1421" s="13" t="s">
        <v>207</v>
      </c>
      <c r="AI1421" s="70" t="s">
        <v>207</v>
      </c>
      <c r="AJ1421" s="13" t="s">
        <v>207</v>
      </c>
      <c r="AK1421" s="13" t="s">
        <v>207</v>
      </c>
      <c r="AL1421" s="13" t="s">
        <v>207</v>
      </c>
      <c r="AM1421" s="13" t="s">
        <v>207</v>
      </c>
      <c r="AN1421" s="13" t="s">
        <v>207</v>
      </c>
      <c r="AO1421" s="13" t="s">
        <v>207</v>
      </c>
      <c r="AP1421" s="13" t="s">
        <v>207</v>
      </c>
      <c r="AQ1421" s="13" t="s">
        <v>207</v>
      </c>
      <c r="AR1421" s="13" t="s">
        <v>207</v>
      </c>
      <c r="AS1421" s="13" t="s">
        <v>207</v>
      </c>
      <c r="AT1421" s="13" t="s">
        <v>207</v>
      </c>
      <c r="AU1421" s="83" t="s">
        <v>207</v>
      </c>
      <c r="AV1421" s="14" t="s">
        <v>207</v>
      </c>
      <c r="AW1421" s="74">
        <v>313880</v>
      </c>
      <c r="AX1421" s="1" t="s">
        <v>16335</v>
      </c>
      <c r="AY1421" s="17" t="s">
        <v>101</v>
      </c>
    </row>
    <row r="1422" spans="1:51" ht="15" customHeight="1" x14ac:dyDescent="0.25">
      <c r="A1422" s="5">
        <v>1335.3</v>
      </c>
      <c r="B1422" s="9" t="s">
        <v>16336</v>
      </c>
      <c r="C1422" s="9" t="s">
        <v>16311</v>
      </c>
      <c r="D1422" s="57" t="str">
        <f>HYPERLINK("http://prodenv.dep.state.fl.us/DepNexus/public/electronic-documents/OG_1335/facility!search","OG_1335_Docs")</f>
        <v>OG_1335_Docs</v>
      </c>
      <c r="E1422" s="57" t="str">
        <f>HYPERLINK("https://ca.dep.state.fl.us/mapdirect/?focus=oilandgas&amp;zoom=query&amp;querytype=oilandgas&amp;queryvalues=OG_1335","OG_1335_Map")</f>
        <v>OG_1335_Map</v>
      </c>
      <c r="F1422" s="1" t="s">
        <v>265</v>
      </c>
      <c r="G1422" s="1" t="s">
        <v>79</v>
      </c>
      <c r="H1422" s="24" t="s">
        <v>16312</v>
      </c>
      <c r="I1422" s="24" t="s">
        <v>16337</v>
      </c>
      <c r="J1422" s="23" t="s">
        <v>82</v>
      </c>
      <c r="K1422" s="23" t="s">
        <v>16338</v>
      </c>
      <c r="L1422" s="17"/>
      <c r="M1422" s="17"/>
      <c r="N1422" s="52"/>
      <c r="O1422" s="17" t="s">
        <v>86</v>
      </c>
      <c r="P1422" s="17" t="s">
        <v>86</v>
      </c>
      <c r="Q1422" s="81" t="s">
        <v>15148</v>
      </c>
      <c r="R1422" s="11">
        <v>26.447495</v>
      </c>
      <c r="S1422" s="11">
        <v>-81.557972000000007</v>
      </c>
      <c r="T1422" s="11" t="s">
        <v>16315</v>
      </c>
      <c r="U1422" s="11" t="s">
        <v>16316</v>
      </c>
      <c r="V1422" s="17" t="s">
        <v>16317</v>
      </c>
      <c r="W1422" s="17" t="s">
        <v>16339</v>
      </c>
      <c r="X1422" s="70"/>
      <c r="Y1422" s="70"/>
      <c r="Z1422" s="13">
        <v>42185</v>
      </c>
      <c r="AA1422" s="13"/>
      <c r="AB1422" s="13"/>
      <c r="AC1422" s="13">
        <v>42284</v>
      </c>
      <c r="AD1422" s="86">
        <v>11500</v>
      </c>
      <c r="AE1422" s="86">
        <v>12619</v>
      </c>
      <c r="AF1422" s="70" t="s">
        <v>16319</v>
      </c>
      <c r="AG1422" s="23" t="s">
        <v>16320</v>
      </c>
      <c r="AH1422" s="23" t="s">
        <v>16321</v>
      </c>
      <c r="AI1422" s="70"/>
      <c r="AJ1422" s="17"/>
      <c r="AK1422" s="17"/>
      <c r="AL1422" s="17"/>
      <c r="AM1422" s="17"/>
      <c r="AN1422" s="17"/>
      <c r="AO1422" s="17"/>
      <c r="AP1422" s="17"/>
      <c r="AQ1422" s="17"/>
      <c r="AR1422" s="17"/>
      <c r="AS1422" s="17" t="s">
        <v>16340</v>
      </c>
      <c r="AT1422" s="17"/>
      <c r="AU1422" s="32" t="s">
        <v>16341</v>
      </c>
      <c r="AV1422" s="14"/>
      <c r="AW1422" s="74">
        <v>313880</v>
      </c>
      <c r="AX1422" s="1"/>
      <c r="AY1422" s="17" t="s">
        <v>101</v>
      </c>
    </row>
    <row r="1423" spans="1:51" ht="15" customHeight="1" x14ac:dyDescent="0.25">
      <c r="A1423" s="5">
        <v>1335.4</v>
      </c>
      <c r="B1423" s="9" t="s">
        <v>16342</v>
      </c>
      <c r="C1423" s="9" t="s">
        <v>16311</v>
      </c>
      <c r="D1423" s="57" t="str">
        <f>HYPERLINK("http://prodenv.dep.state.fl.us/DepNexus/public/electronic-documents/OG_1335/facility!search","OG_1335_Docs")</f>
        <v>OG_1335_Docs</v>
      </c>
      <c r="E1423" s="57" t="str">
        <f>HYPERLINK("https://ca.dep.state.fl.us/mapdirect/?focus=oilandgas&amp;zoom=query&amp;querytype=oilandgas&amp;queryvalues=OG_1335","OG_1335_Map")</f>
        <v>OG_1335_Map</v>
      </c>
      <c r="F1423" s="1" t="s">
        <v>265</v>
      </c>
      <c r="G1423" s="1" t="s">
        <v>79</v>
      </c>
      <c r="H1423" s="24" t="s">
        <v>16333</v>
      </c>
      <c r="I1423" s="24" t="s">
        <v>16343</v>
      </c>
      <c r="J1423" s="17" t="s">
        <v>5153</v>
      </c>
      <c r="K1423" s="23"/>
      <c r="L1423" s="17"/>
      <c r="M1423" s="17"/>
      <c r="N1423" s="52"/>
      <c r="O1423" s="17" t="s">
        <v>86</v>
      </c>
      <c r="P1423" s="17" t="s">
        <v>86</v>
      </c>
      <c r="Q1423" s="81" t="s">
        <v>15148</v>
      </c>
      <c r="R1423" s="11">
        <v>26.447500000000002</v>
      </c>
      <c r="S1423" s="11">
        <v>-81.557824999999994</v>
      </c>
      <c r="T1423" s="11" t="s">
        <v>16344</v>
      </c>
      <c r="U1423" s="11" t="s">
        <v>16345</v>
      </c>
      <c r="V1423" s="17" t="s">
        <v>16317</v>
      </c>
      <c r="W1423" s="17" t="s">
        <v>16346</v>
      </c>
      <c r="X1423" s="70"/>
      <c r="Y1423" s="70">
        <v>20</v>
      </c>
      <c r="Z1423" s="13">
        <v>43637</v>
      </c>
      <c r="AA1423" s="13"/>
      <c r="AB1423" s="13"/>
      <c r="AC1423" s="13"/>
      <c r="AD1423" s="86"/>
      <c r="AE1423" s="86"/>
      <c r="AF1423" s="70"/>
      <c r="AG1423" s="23"/>
      <c r="AH1423" s="23"/>
      <c r="AI1423" s="70"/>
      <c r="AJ1423" s="17"/>
      <c r="AK1423" s="17"/>
      <c r="AL1423" s="17"/>
      <c r="AM1423" s="17"/>
      <c r="AN1423" s="17"/>
      <c r="AO1423" s="17"/>
      <c r="AP1423" s="17"/>
      <c r="AQ1423" s="17"/>
      <c r="AR1423" s="17"/>
      <c r="AS1423" s="17"/>
      <c r="AT1423" s="17"/>
      <c r="AU1423" s="32"/>
      <c r="AV1423" s="14"/>
      <c r="AW1423" s="74">
        <v>313880</v>
      </c>
      <c r="AX1423" s="17" t="s">
        <v>16347</v>
      </c>
      <c r="AY1423" s="17" t="s">
        <v>101</v>
      </c>
    </row>
    <row r="1424" spans="1:51" ht="12.75" customHeight="1" x14ac:dyDescent="0.25">
      <c r="A1424" s="5">
        <v>1337</v>
      </c>
      <c r="B1424" s="9">
        <v>1337</v>
      </c>
      <c r="C1424" s="9" t="s">
        <v>16348</v>
      </c>
      <c r="D1424" s="57" t="str">
        <f>HYPERLINK("http://prodenv.dep.state.fl.us/DepNexus/public/electronic-documents/OG_1337/facility!search","OG_1337_Docs")</f>
        <v>OG_1337_Docs</v>
      </c>
      <c r="E1424" s="57" t="str">
        <f>HYPERLINK("https://ca.dep.state.fl.us/mapdirect/?focus=oilandgas&amp;zoom=query&amp;querytype=oilandgas&amp;queryvalues=OG_1337","OG_1337_Map")</f>
        <v>OG_1337_Map</v>
      </c>
      <c r="F1424" s="1" t="s">
        <v>265</v>
      </c>
      <c r="G1424" s="1" t="s">
        <v>10452</v>
      </c>
      <c r="H1424" s="1" t="s">
        <v>12827</v>
      </c>
      <c r="I1424" s="1" t="s">
        <v>16349</v>
      </c>
      <c r="J1424" s="17" t="s">
        <v>207</v>
      </c>
      <c r="K1424" s="17" t="s">
        <v>207</v>
      </c>
      <c r="L1424" s="17"/>
      <c r="M1424" s="17"/>
      <c r="N1424" s="52" t="s">
        <v>207</v>
      </c>
      <c r="O1424" s="17" t="s">
        <v>270</v>
      </c>
      <c r="P1424" s="17" t="s">
        <v>3395</v>
      </c>
      <c r="Q1424" s="81" t="s">
        <v>14530</v>
      </c>
      <c r="R1424" s="11">
        <v>26.001470000000001</v>
      </c>
      <c r="S1424" s="11">
        <v>-80.911502999999996</v>
      </c>
      <c r="T1424" s="11" t="s">
        <v>16350</v>
      </c>
      <c r="U1424" s="11" t="s">
        <v>16351</v>
      </c>
      <c r="V1424" s="17" t="s">
        <v>16352</v>
      </c>
      <c r="W1424" s="17" t="s">
        <v>16353</v>
      </c>
      <c r="X1424" s="70"/>
      <c r="Y1424" s="70">
        <v>11</v>
      </c>
      <c r="Z1424" s="13">
        <v>40564</v>
      </c>
      <c r="AA1424" s="26"/>
      <c r="AB1424" s="13"/>
      <c r="AC1424" s="13"/>
      <c r="AD1424" s="86"/>
      <c r="AE1424" s="86"/>
      <c r="AF1424" s="71" t="s">
        <v>207</v>
      </c>
      <c r="AG1424" s="23" t="s">
        <v>207</v>
      </c>
      <c r="AH1424" s="23" t="s">
        <v>207</v>
      </c>
      <c r="AI1424" s="71" t="s">
        <v>207</v>
      </c>
      <c r="AJ1424" s="23" t="s">
        <v>207</v>
      </c>
      <c r="AK1424" s="23" t="s">
        <v>207</v>
      </c>
      <c r="AL1424" s="23" t="s">
        <v>207</v>
      </c>
      <c r="AM1424" s="23" t="s">
        <v>207</v>
      </c>
      <c r="AN1424" s="23" t="s">
        <v>207</v>
      </c>
      <c r="AO1424" s="23" t="s">
        <v>207</v>
      </c>
      <c r="AP1424" s="23" t="s">
        <v>207</v>
      </c>
      <c r="AQ1424" s="23" t="s">
        <v>207</v>
      </c>
      <c r="AR1424" s="23" t="s">
        <v>207</v>
      </c>
      <c r="AS1424" s="23" t="s">
        <v>207</v>
      </c>
      <c r="AT1424" s="23" t="s">
        <v>207</v>
      </c>
      <c r="AU1424" s="32" t="s">
        <v>207</v>
      </c>
      <c r="AV1424" s="14" t="s">
        <v>207</v>
      </c>
      <c r="AW1424" s="74">
        <v>303181</v>
      </c>
      <c r="AX1424" s="1"/>
      <c r="AY1424" s="17" t="s">
        <v>101</v>
      </c>
    </row>
    <row r="1425" spans="1:51" ht="12.75" customHeight="1" x14ac:dyDescent="0.25">
      <c r="A1425" s="5">
        <v>1338</v>
      </c>
      <c r="B1425" s="9" t="s">
        <v>16354</v>
      </c>
      <c r="C1425" s="9" t="s">
        <v>16355</v>
      </c>
      <c r="D1425" s="57" t="str">
        <f>HYPERLINK("http://prodenv.dep.state.fl.us/DepNexus/public/electronic-documents/OG_1338/facility!search","OG_1338_Docs")</f>
        <v>OG_1338_Docs</v>
      </c>
      <c r="E1425" s="57" t="str">
        <f>HYPERLINK("https://ca.dep.state.fl.us/mapdirect/?focus=oilandgas&amp;zoom=query&amp;querytype=oilandgas&amp;queryvalues=OG_1338","OG_1338_Map")</f>
        <v>OG_1338_Map</v>
      </c>
      <c r="F1425" s="1" t="s">
        <v>265</v>
      </c>
      <c r="G1425" s="1" t="s">
        <v>10452</v>
      </c>
      <c r="H1425" s="1" t="s">
        <v>1363</v>
      </c>
      <c r="I1425" s="1" t="s">
        <v>16356</v>
      </c>
      <c r="J1425" s="17" t="s">
        <v>13881</v>
      </c>
      <c r="K1425" s="17" t="s">
        <v>412</v>
      </c>
      <c r="L1425" s="17"/>
      <c r="M1425" s="17"/>
      <c r="N1425" s="25" t="s">
        <v>16357</v>
      </c>
      <c r="O1425" s="17" t="s">
        <v>270</v>
      </c>
      <c r="P1425" s="17" t="s">
        <v>3395</v>
      </c>
      <c r="Q1425" s="81" t="s">
        <v>14530</v>
      </c>
      <c r="R1425" s="11">
        <v>26.001614</v>
      </c>
      <c r="S1425" s="11">
        <v>-80.911321000000001</v>
      </c>
      <c r="T1425" s="11" t="s">
        <v>16358</v>
      </c>
      <c r="U1425" s="11" t="s">
        <v>16359</v>
      </c>
      <c r="V1425" s="23" t="s">
        <v>16360</v>
      </c>
      <c r="W1425" s="17" t="s">
        <v>16361</v>
      </c>
      <c r="X1425" s="70"/>
      <c r="Y1425" s="71">
        <v>10</v>
      </c>
      <c r="Z1425" s="13">
        <v>40624</v>
      </c>
      <c r="AA1425" s="13">
        <v>40717</v>
      </c>
      <c r="AB1425" s="13">
        <v>40814</v>
      </c>
      <c r="AC1425" s="13"/>
      <c r="AD1425" s="86">
        <v>11390</v>
      </c>
      <c r="AE1425" s="87">
        <v>14300</v>
      </c>
      <c r="AF1425" s="71" t="s">
        <v>16362</v>
      </c>
      <c r="AG1425" s="23" t="s">
        <v>16363</v>
      </c>
      <c r="AH1425" s="23" t="s">
        <v>16364</v>
      </c>
      <c r="AI1425" s="71" t="s">
        <v>16365</v>
      </c>
      <c r="AJ1425" s="23" t="s">
        <v>16366</v>
      </c>
      <c r="AK1425" s="17" t="s">
        <v>95</v>
      </c>
      <c r="AL1425" s="23"/>
      <c r="AM1425" s="23"/>
      <c r="AN1425" s="23"/>
      <c r="AO1425" s="23" t="s">
        <v>16367</v>
      </c>
      <c r="AP1425" s="23" t="s">
        <v>98</v>
      </c>
      <c r="AQ1425" s="23" t="s">
        <v>16368</v>
      </c>
      <c r="AR1425" s="23" t="s">
        <v>16369</v>
      </c>
      <c r="AS1425" s="17"/>
      <c r="AT1425" s="17">
        <v>188</v>
      </c>
      <c r="AU1425" s="32" t="s">
        <v>16370</v>
      </c>
      <c r="AV1425" s="14">
        <v>19313</v>
      </c>
      <c r="AW1425" s="75">
        <v>303182</v>
      </c>
      <c r="AX1425" s="1"/>
      <c r="AY1425" s="17" t="s">
        <v>101</v>
      </c>
    </row>
    <row r="1426" spans="1:51" ht="12.75" customHeight="1" x14ac:dyDescent="0.25">
      <c r="A1426" s="5">
        <v>1339</v>
      </c>
      <c r="B1426" s="9" t="s">
        <v>16371</v>
      </c>
      <c r="C1426" s="9" t="s">
        <v>16372</v>
      </c>
      <c r="D1426" s="57" t="str">
        <f>HYPERLINK("http://prodenv.dep.state.fl.us/DepNexus/public/electronic-documents/OG_1339/facility!search","OG_1339_Docs")</f>
        <v>OG_1339_Docs</v>
      </c>
      <c r="E1426" s="57" t="str">
        <f>HYPERLINK("https://ca.dep.state.fl.us/mapdirect/?focus=oilandgas&amp;zoom=query&amp;querytype=oilandgas&amp;queryvalues=OG_1339","OG_1339_Map")</f>
        <v>OG_1339_Map</v>
      </c>
      <c r="F1426" s="1" t="s">
        <v>265</v>
      </c>
      <c r="G1426" s="1" t="s">
        <v>10452</v>
      </c>
      <c r="H1426" s="1" t="s">
        <v>12827</v>
      </c>
      <c r="I1426" s="1" t="s">
        <v>16373</v>
      </c>
      <c r="J1426" s="17" t="s">
        <v>207</v>
      </c>
      <c r="K1426" s="17" t="s">
        <v>207</v>
      </c>
      <c r="L1426" s="17"/>
      <c r="M1426" s="17"/>
      <c r="N1426" s="52" t="s">
        <v>207</v>
      </c>
      <c r="O1426" s="17" t="s">
        <v>270</v>
      </c>
      <c r="P1426" s="17" t="s">
        <v>3395</v>
      </c>
      <c r="Q1426" s="81" t="s">
        <v>14530</v>
      </c>
      <c r="R1426" s="11">
        <v>26.001262000000001</v>
      </c>
      <c r="S1426" s="11">
        <v>-80.911428000000001</v>
      </c>
      <c r="T1426" s="11" t="s">
        <v>16374</v>
      </c>
      <c r="U1426" s="11" t="s">
        <v>16375</v>
      </c>
      <c r="V1426" s="17" t="s">
        <v>16352</v>
      </c>
      <c r="W1426" s="17"/>
      <c r="X1426" s="70"/>
      <c r="Y1426" s="70"/>
      <c r="Z1426" s="13">
        <v>40624</v>
      </c>
      <c r="AA1426" s="26"/>
      <c r="AB1426" s="13"/>
      <c r="AC1426" s="13"/>
      <c r="AD1426" s="70"/>
      <c r="AE1426" s="70"/>
      <c r="AF1426" s="71" t="s">
        <v>207</v>
      </c>
      <c r="AG1426" s="27" t="s">
        <v>207</v>
      </c>
      <c r="AH1426" s="27" t="s">
        <v>207</v>
      </c>
      <c r="AI1426" s="71" t="s">
        <v>207</v>
      </c>
      <c r="AJ1426" s="27" t="s">
        <v>207</v>
      </c>
      <c r="AK1426" s="27" t="s">
        <v>207</v>
      </c>
      <c r="AL1426" s="27" t="s">
        <v>207</v>
      </c>
      <c r="AM1426" s="27" t="s">
        <v>207</v>
      </c>
      <c r="AN1426" s="27" t="s">
        <v>207</v>
      </c>
      <c r="AO1426" s="27" t="s">
        <v>207</v>
      </c>
      <c r="AP1426" s="27" t="s">
        <v>207</v>
      </c>
      <c r="AQ1426" s="27" t="s">
        <v>207</v>
      </c>
      <c r="AR1426" s="27" t="s">
        <v>207</v>
      </c>
      <c r="AS1426" s="27" t="s">
        <v>207</v>
      </c>
      <c r="AT1426" s="27" t="s">
        <v>207</v>
      </c>
      <c r="AU1426" s="30" t="s">
        <v>207</v>
      </c>
      <c r="AV1426" s="13" t="s">
        <v>207</v>
      </c>
      <c r="AW1426" s="74">
        <v>303183</v>
      </c>
      <c r="AX1426" s="1"/>
      <c r="AY1426" s="17" t="s">
        <v>101</v>
      </c>
    </row>
    <row r="1427" spans="1:51" ht="12.75" customHeight="1" x14ac:dyDescent="0.25">
      <c r="A1427" s="5">
        <v>1340.1</v>
      </c>
      <c r="B1427" s="9" t="s">
        <v>16376</v>
      </c>
      <c r="C1427" s="9" t="s">
        <v>16377</v>
      </c>
      <c r="D1427" s="57" t="str">
        <f>HYPERLINK("http://prodenv.dep.state.fl.us/DepNexus/public/electronic-documents/OG_1340/facility!search","OG_1340_Docs")</f>
        <v>OG_1340_Docs</v>
      </c>
      <c r="E1427" s="57" t="str">
        <f>HYPERLINK("https://ca.dep.state.fl.us/mapdirect/?focus=oilandgas&amp;zoom=query&amp;querytype=oilandgas&amp;queryvalues=OG_1340","OG_1340_Map")</f>
        <v>OG_1340_Map</v>
      </c>
      <c r="F1427" s="1" t="s">
        <v>1752</v>
      </c>
      <c r="G1427" s="1" t="s">
        <v>4496</v>
      </c>
      <c r="H1427" s="1" t="s">
        <v>1363</v>
      </c>
      <c r="I1427" s="1" t="s">
        <v>16378</v>
      </c>
      <c r="J1427" s="17" t="s">
        <v>3646</v>
      </c>
      <c r="K1427" s="17" t="s">
        <v>412</v>
      </c>
      <c r="L1427" s="17"/>
      <c r="M1427" s="17"/>
      <c r="N1427" s="52" t="s">
        <v>16379</v>
      </c>
      <c r="O1427" s="17" t="s">
        <v>86</v>
      </c>
      <c r="P1427" s="17" t="s">
        <v>86</v>
      </c>
      <c r="Q1427" s="81" t="s">
        <v>5108</v>
      </c>
      <c r="R1427" s="11">
        <v>26.527479</v>
      </c>
      <c r="S1427" s="11">
        <v>-81.546779000000001</v>
      </c>
      <c r="T1427" s="11" t="s">
        <v>16380</v>
      </c>
      <c r="U1427" s="11" t="s">
        <v>16381</v>
      </c>
      <c r="V1427" s="17" t="s">
        <v>16382</v>
      </c>
      <c r="W1427" s="17" t="s">
        <v>16383</v>
      </c>
      <c r="X1427" s="70">
        <v>25.5</v>
      </c>
      <c r="Y1427" s="70">
        <v>29.4</v>
      </c>
      <c r="Z1427" s="13">
        <v>40939</v>
      </c>
      <c r="AA1427" s="13">
        <v>40942</v>
      </c>
      <c r="AB1427" s="13">
        <v>41058</v>
      </c>
      <c r="AC1427" s="13"/>
      <c r="AD1427" s="86">
        <v>11423</v>
      </c>
      <c r="AE1427" s="70">
        <v>13997</v>
      </c>
      <c r="AF1427" s="70" t="s">
        <v>16384</v>
      </c>
      <c r="AG1427" s="17" t="s">
        <v>16385</v>
      </c>
      <c r="AH1427" s="17" t="s">
        <v>16386</v>
      </c>
      <c r="AI1427" s="70" t="s">
        <v>16387</v>
      </c>
      <c r="AJ1427" s="17" t="s">
        <v>16388</v>
      </c>
      <c r="AK1427" s="17" t="s">
        <v>95</v>
      </c>
      <c r="AL1427" s="17" t="s">
        <v>98</v>
      </c>
      <c r="AM1427" s="17" t="s">
        <v>98</v>
      </c>
      <c r="AN1427" s="17" t="s">
        <v>98</v>
      </c>
      <c r="AO1427" s="17">
        <v>201</v>
      </c>
      <c r="AP1427" s="17" t="s">
        <v>98</v>
      </c>
      <c r="AQ1427" s="17">
        <v>280</v>
      </c>
      <c r="AR1427" s="17" t="s">
        <v>16389</v>
      </c>
      <c r="AS1427" s="17"/>
      <c r="AT1427" s="17">
        <v>214</v>
      </c>
      <c r="AU1427" s="31" t="s">
        <v>16390</v>
      </c>
      <c r="AV1427" s="14">
        <v>19426</v>
      </c>
      <c r="AW1427" s="75">
        <v>309028</v>
      </c>
      <c r="AX1427" s="1"/>
      <c r="AY1427" s="17" t="s">
        <v>101</v>
      </c>
    </row>
    <row r="1428" spans="1:51" ht="12.75" customHeight="1" x14ac:dyDescent="0.25">
      <c r="A1428" s="5">
        <v>1341</v>
      </c>
      <c r="B1428" s="9">
        <v>1341</v>
      </c>
      <c r="C1428" s="9" t="s">
        <v>16391</v>
      </c>
      <c r="D1428" s="57" t="str">
        <f>HYPERLINK("http://prodenv.dep.state.fl.us/DepNexus/public/electronic-documents/OG_1341/facility!search","OG_1341_Docs")</f>
        <v>OG_1341_Docs</v>
      </c>
      <c r="E1428" s="57" t="str">
        <f>HYPERLINK("https://ca.dep.state.fl.us/mapdirect/?focus=oilandgas&amp;zoom=query&amp;querytype=oilandgas&amp;queryvalues=OG_1341","OG_1341_Map")</f>
        <v>OG_1341_Map</v>
      </c>
      <c r="F1428" s="1" t="s">
        <v>1752</v>
      </c>
      <c r="G1428" s="1" t="s">
        <v>4496</v>
      </c>
      <c r="H1428" s="1" t="s">
        <v>1363</v>
      </c>
      <c r="I1428" s="1" t="s">
        <v>16392</v>
      </c>
      <c r="J1428" s="17" t="s">
        <v>1365</v>
      </c>
      <c r="K1428" s="17" t="s">
        <v>1365</v>
      </c>
      <c r="L1428" s="17"/>
      <c r="M1428" s="17"/>
      <c r="N1428" s="52" t="s">
        <v>16393</v>
      </c>
      <c r="O1428" s="17" t="s">
        <v>86</v>
      </c>
      <c r="P1428" s="17" t="s">
        <v>86</v>
      </c>
      <c r="Q1428" s="81" t="s">
        <v>5108</v>
      </c>
      <c r="R1428" s="11">
        <v>26.527297000000001</v>
      </c>
      <c r="S1428" s="11">
        <v>-81.546634999999995</v>
      </c>
      <c r="T1428" s="11" t="s">
        <v>16394</v>
      </c>
      <c r="U1428" s="11" t="s">
        <v>16395</v>
      </c>
      <c r="V1428" s="17" t="s">
        <v>16396</v>
      </c>
      <c r="W1428" s="17" t="s">
        <v>110</v>
      </c>
      <c r="X1428" s="71">
        <v>34.799999999999997</v>
      </c>
      <c r="Y1428" s="70">
        <v>29.8</v>
      </c>
      <c r="Z1428" s="13">
        <v>40991</v>
      </c>
      <c r="AA1428" s="13">
        <v>41296</v>
      </c>
      <c r="AB1428" s="13">
        <v>41514</v>
      </c>
      <c r="AC1428" s="13"/>
      <c r="AD1428" s="86">
        <v>2600</v>
      </c>
      <c r="AE1428" s="86">
        <v>2600</v>
      </c>
      <c r="AF1428" s="71" t="s">
        <v>16397</v>
      </c>
      <c r="AG1428" s="17" t="s">
        <v>16398</v>
      </c>
      <c r="AH1428" s="23" t="s">
        <v>16399</v>
      </c>
      <c r="AI1428" s="71" t="s">
        <v>98</v>
      </c>
      <c r="AJ1428" s="23" t="s">
        <v>98</v>
      </c>
      <c r="AK1428" s="17"/>
      <c r="AL1428" s="23" t="s">
        <v>98</v>
      </c>
      <c r="AM1428" s="23" t="s">
        <v>98</v>
      </c>
      <c r="AN1428" s="23" t="s">
        <v>98</v>
      </c>
      <c r="AO1428" s="23" t="s">
        <v>98</v>
      </c>
      <c r="AP1428" s="23" t="s">
        <v>98</v>
      </c>
      <c r="AQ1428" s="23" t="s">
        <v>98</v>
      </c>
      <c r="AR1428" s="23" t="s">
        <v>98</v>
      </c>
      <c r="AS1428" s="17"/>
      <c r="AT1428" s="17"/>
      <c r="AU1428" s="32" t="s">
        <v>16400</v>
      </c>
      <c r="AV1428" s="14" t="s">
        <v>98</v>
      </c>
      <c r="AW1428" s="75">
        <v>309618</v>
      </c>
      <c r="AX1428" s="1" t="s">
        <v>16401</v>
      </c>
      <c r="AY1428" s="17" t="s">
        <v>101</v>
      </c>
    </row>
    <row r="1429" spans="1:51" ht="12.75" customHeight="1" x14ac:dyDescent="0.25">
      <c r="A1429" s="5">
        <v>1342</v>
      </c>
      <c r="B1429" s="9">
        <v>1342</v>
      </c>
      <c r="C1429" s="9" t="s">
        <v>16402</v>
      </c>
      <c r="D1429" s="57" t="str">
        <f>HYPERLINK("http://prodenv.dep.state.fl.us/DepNexus/public/electronic-documents/OG_1342/facility!search","OG_1342_Docs")</f>
        <v>OG_1342_Docs</v>
      </c>
      <c r="E1429" s="57" t="str">
        <f>HYPERLINK("https://ca.dep.state.fl.us/mapdirect/?focus=oilandgas&amp;zoom=query&amp;querytype=oilandgas&amp;queryvalues=OG_1342","OG_1342_Map")</f>
        <v>OG_1342_Map</v>
      </c>
      <c r="F1429" s="1" t="s">
        <v>265</v>
      </c>
      <c r="G1429" s="1" t="s">
        <v>7239</v>
      </c>
      <c r="H1429" s="1" t="s">
        <v>1363</v>
      </c>
      <c r="I1429" s="1" t="s">
        <v>16403</v>
      </c>
      <c r="J1429" s="17" t="s">
        <v>1365</v>
      </c>
      <c r="K1429" s="17" t="s">
        <v>1365</v>
      </c>
      <c r="L1429" s="17"/>
      <c r="M1429" s="17"/>
      <c r="N1429" s="52" t="s">
        <v>16393</v>
      </c>
      <c r="O1429" s="17" t="s">
        <v>270</v>
      </c>
      <c r="P1429" s="17" t="s">
        <v>86</v>
      </c>
      <c r="Q1429" s="81" t="s">
        <v>9886</v>
      </c>
      <c r="R1429" s="11">
        <v>26.258672000000001</v>
      </c>
      <c r="S1429" s="11">
        <v>-81.304334999999995</v>
      </c>
      <c r="T1429" s="11" t="s">
        <v>16404</v>
      </c>
      <c r="U1429" s="11" t="s">
        <v>16405</v>
      </c>
      <c r="V1429" s="23" t="s">
        <v>16406</v>
      </c>
      <c r="W1429" s="17" t="s">
        <v>110</v>
      </c>
      <c r="X1429" s="70">
        <v>20.350000000000001</v>
      </c>
      <c r="Y1429" s="71">
        <v>15.35</v>
      </c>
      <c r="Z1429" s="13">
        <v>41484</v>
      </c>
      <c r="AA1429" s="13">
        <v>41554</v>
      </c>
      <c r="AB1429" s="13">
        <v>41801</v>
      </c>
      <c r="AC1429" s="13"/>
      <c r="AD1429" s="86">
        <v>2607</v>
      </c>
      <c r="AE1429" s="87">
        <v>2607</v>
      </c>
      <c r="AF1429" s="71" t="s">
        <v>16407</v>
      </c>
      <c r="AG1429" s="23" t="s">
        <v>16408</v>
      </c>
      <c r="AH1429" s="23" t="s">
        <v>16409</v>
      </c>
      <c r="AI1429" s="71" t="s">
        <v>98</v>
      </c>
      <c r="AJ1429" s="23" t="s">
        <v>98</v>
      </c>
      <c r="AK1429" s="17"/>
      <c r="AL1429" s="23" t="s">
        <v>98</v>
      </c>
      <c r="AM1429" s="23" t="s">
        <v>98</v>
      </c>
      <c r="AN1429" s="23" t="s">
        <v>98</v>
      </c>
      <c r="AO1429" s="23" t="s">
        <v>98</v>
      </c>
      <c r="AP1429" s="23" t="s">
        <v>98</v>
      </c>
      <c r="AQ1429" s="23" t="s">
        <v>98</v>
      </c>
      <c r="AR1429" s="23" t="s">
        <v>98</v>
      </c>
      <c r="AS1429" s="17"/>
      <c r="AT1429" s="17"/>
      <c r="AU1429" s="32" t="s">
        <v>16410</v>
      </c>
      <c r="AV1429" s="14" t="s">
        <v>98</v>
      </c>
      <c r="AW1429" s="75">
        <v>312199</v>
      </c>
      <c r="AX1429" s="1" t="s">
        <v>16411</v>
      </c>
      <c r="AY1429" s="17" t="s">
        <v>101</v>
      </c>
    </row>
    <row r="1430" spans="1:51" ht="12.75" customHeight="1" x14ac:dyDescent="0.25">
      <c r="A1430" s="5">
        <v>1343</v>
      </c>
      <c r="B1430" s="9">
        <v>1343</v>
      </c>
      <c r="C1430" s="9" t="s">
        <v>16412</v>
      </c>
      <c r="D1430" s="57" t="str">
        <f>HYPERLINK("http://prodenv.dep.state.fl.us/DepNexus/public/electronic-documents/OG_1343/facility!search","OG_1343_Docs")</f>
        <v>OG_1343_Docs</v>
      </c>
      <c r="E1430" s="57" t="str">
        <f>HYPERLINK("https://ca.dep.state.fl.us/mapdirect/?focus=oilandgas&amp;zoom=query&amp;querytype=oilandgas&amp;queryvalues=OG_1343","OG_1343_Map")</f>
        <v>OG_1343_Map</v>
      </c>
      <c r="F1430" s="1" t="s">
        <v>265</v>
      </c>
      <c r="G1430" s="1" t="s">
        <v>10452</v>
      </c>
      <c r="H1430" s="1" t="s">
        <v>1363</v>
      </c>
      <c r="I1430" s="1" t="s">
        <v>16413</v>
      </c>
      <c r="J1430" s="17" t="s">
        <v>1365</v>
      </c>
      <c r="K1430" s="17" t="s">
        <v>1365</v>
      </c>
      <c r="L1430" s="17"/>
      <c r="M1430" s="17"/>
      <c r="N1430" s="25" t="s">
        <v>16414</v>
      </c>
      <c r="O1430" s="17" t="s">
        <v>270</v>
      </c>
      <c r="P1430" s="17" t="s">
        <v>3395</v>
      </c>
      <c r="Q1430" s="81" t="s">
        <v>16415</v>
      </c>
      <c r="R1430" s="11">
        <v>25.983393</v>
      </c>
      <c r="S1430" s="11">
        <v>-80.900665000000004</v>
      </c>
      <c r="T1430" s="11" t="s">
        <v>16416</v>
      </c>
      <c r="U1430" s="11" t="s">
        <v>16417</v>
      </c>
      <c r="V1430" s="23" t="s">
        <v>16418</v>
      </c>
      <c r="W1430" s="17" t="s">
        <v>110</v>
      </c>
      <c r="X1430" s="70"/>
      <c r="Y1430" s="71">
        <v>15.35</v>
      </c>
      <c r="Z1430" s="13">
        <v>41481</v>
      </c>
      <c r="AA1430" s="13">
        <v>41841</v>
      </c>
      <c r="AB1430" s="13">
        <v>42034</v>
      </c>
      <c r="AC1430" s="13"/>
      <c r="AD1430" s="86">
        <v>3500</v>
      </c>
      <c r="AE1430" s="87">
        <v>3500</v>
      </c>
      <c r="AF1430" s="71" t="s">
        <v>16419</v>
      </c>
      <c r="AG1430" s="23" t="s">
        <v>16420</v>
      </c>
      <c r="AH1430" s="23" t="s">
        <v>16421</v>
      </c>
      <c r="AI1430" s="71" t="s">
        <v>98</v>
      </c>
      <c r="AJ1430" s="23" t="s">
        <v>98</v>
      </c>
      <c r="AK1430" s="17"/>
      <c r="AL1430" s="23" t="s">
        <v>98</v>
      </c>
      <c r="AM1430" s="23" t="s">
        <v>98</v>
      </c>
      <c r="AN1430" s="23" t="s">
        <v>98</v>
      </c>
      <c r="AO1430" s="23" t="s">
        <v>98</v>
      </c>
      <c r="AP1430" s="23" t="s">
        <v>98</v>
      </c>
      <c r="AQ1430" s="23" t="s">
        <v>98</v>
      </c>
      <c r="AR1430" s="23" t="s">
        <v>98</v>
      </c>
      <c r="AS1430" s="17"/>
      <c r="AT1430" s="17"/>
      <c r="AU1430" s="32" t="s">
        <v>16422</v>
      </c>
      <c r="AV1430" s="14" t="s">
        <v>98</v>
      </c>
      <c r="AW1430" s="75">
        <v>312202</v>
      </c>
      <c r="AX1430" s="1" t="s">
        <v>16423</v>
      </c>
      <c r="AY1430" s="17" t="s">
        <v>101</v>
      </c>
    </row>
    <row r="1431" spans="1:51" ht="12.75" customHeight="1" x14ac:dyDescent="0.25">
      <c r="A1431" s="5">
        <v>1344</v>
      </c>
      <c r="B1431" s="9" t="s">
        <v>16424</v>
      </c>
      <c r="C1431" s="9" t="s">
        <v>16425</v>
      </c>
      <c r="D1431" s="57" t="str">
        <f>HYPERLINK("http://prodenv.dep.state.fl.us/DepNexus/public/electronic-documents/OG_1344/facility!search","OG_1344_Docs")</f>
        <v>OG_1344_Docs</v>
      </c>
      <c r="E1431" s="57" t="str">
        <f>HYPERLINK("https://ca.dep.state.fl.us/mapdirect/?focus=oilandgas&amp;zoom=query&amp;querytype=oilandgas&amp;queryvalues=OG_1344","OG_1344_Map")</f>
        <v>OG_1344_Map</v>
      </c>
      <c r="F1431" s="1" t="s">
        <v>265</v>
      </c>
      <c r="G1431" s="1" t="s">
        <v>10452</v>
      </c>
      <c r="H1431" s="1" t="s">
        <v>1363</v>
      </c>
      <c r="I1431" s="1" t="s">
        <v>16426</v>
      </c>
      <c r="J1431" s="17" t="s">
        <v>13881</v>
      </c>
      <c r="K1431" s="17" t="s">
        <v>412</v>
      </c>
      <c r="L1431" s="17"/>
      <c r="M1431" s="17"/>
      <c r="N1431" s="25" t="s">
        <v>16427</v>
      </c>
      <c r="O1431" s="17" t="s">
        <v>270</v>
      </c>
      <c r="P1431" s="17" t="s">
        <v>3395</v>
      </c>
      <c r="Q1431" s="81" t="s">
        <v>16428</v>
      </c>
      <c r="R1431" s="11">
        <v>25.999732000000002</v>
      </c>
      <c r="S1431" s="11">
        <v>-80.924465999999995</v>
      </c>
      <c r="T1431" s="11" t="s">
        <v>16429</v>
      </c>
      <c r="U1431" s="11" t="s">
        <v>16430</v>
      </c>
      <c r="V1431" s="23" t="s">
        <v>16431</v>
      </c>
      <c r="W1431" s="17" t="s">
        <v>16432</v>
      </c>
      <c r="X1431" s="70">
        <v>25.6</v>
      </c>
      <c r="Y1431" s="71">
        <v>11</v>
      </c>
      <c r="Z1431" s="13">
        <v>40955</v>
      </c>
      <c r="AA1431" s="13">
        <v>41152</v>
      </c>
      <c r="AB1431" s="13">
        <v>41156</v>
      </c>
      <c r="AC1431" s="13"/>
      <c r="AD1431" s="86">
        <v>11426</v>
      </c>
      <c r="AE1431" s="87">
        <v>15166</v>
      </c>
      <c r="AF1431" s="71" t="s">
        <v>16433</v>
      </c>
      <c r="AG1431" s="23" t="s">
        <v>16434</v>
      </c>
      <c r="AH1431" s="23" t="s">
        <v>16435</v>
      </c>
      <c r="AI1431" s="71" t="s">
        <v>16436</v>
      </c>
      <c r="AJ1431" s="23" t="s">
        <v>98</v>
      </c>
      <c r="AK1431" s="17" t="s">
        <v>95</v>
      </c>
      <c r="AL1431" s="23"/>
      <c r="AM1431" s="23"/>
      <c r="AN1431" s="23"/>
      <c r="AO1431" s="23"/>
      <c r="AP1431" s="23"/>
      <c r="AQ1431" s="23"/>
      <c r="AR1431" s="23" t="s">
        <v>16437</v>
      </c>
      <c r="AS1431" s="17"/>
      <c r="AT1431" s="17"/>
      <c r="AU1431" s="32" t="s">
        <v>16438</v>
      </c>
      <c r="AV1431" s="14">
        <v>19441</v>
      </c>
      <c r="AW1431" s="75">
        <v>309139</v>
      </c>
      <c r="AX1431" s="1"/>
      <c r="AY1431" s="17" t="s">
        <v>101</v>
      </c>
    </row>
    <row r="1432" spans="1:51" ht="15" customHeight="1" x14ac:dyDescent="0.25">
      <c r="A1432" s="5">
        <v>1345</v>
      </c>
      <c r="B1432" s="9" t="s">
        <v>16439</v>
      </c>
      <c r="C1432" s="9" t="s">
        <v>16440</v>
      </c>
      <c r="D1432" s="57" t="str">
        <f>HYPERLINK("http://prodenv.dep.state.fl.us/DepNexus/public/electronic-documents/OG_1345/facility!search","OG_1345_Docs")</f>
        <v>OG_1345_Docs</v>
      </c>
      <c r="E1432" s="57" t="str">
        <f>HYPERLINK("https://ca.dep.state.fl.us/mapdirect/?focus=oilandgas&amp;zoom=query&amp;querytype=oilandgas&amp;queryvalues=OG_1345","OG_1345_Map")</f>
        <v>OG_1345_Map</v>
      </c>
      <c r="F1432" s="1" t="s">
        <v>265</v>
      </c>
      <c r="G1432" s="1" t="s">
        <v>7239</v>
      </c>
      <c r="H1432" s="1" t="s">
        <v>1363</v>
      </c>
      <c r="I1432" s="1" t="s">
        <v>16441</v>
      </c>
      <c r="J1432" s="17" t="s">
        <v>3646</v>
      </c>
      <c r="K1432" s="17" t="s">
        <v>412</v>
      </c>
      <c r="L1432" s="17"/>
      <c r="M1432" s="17"/>
      <c r="N1432" s="25" t="s">
        <v>16442</v>
      </c>
      <c r="O1432" s="17" t="s">
        <v>270</v>
      </c>
      <c r="P1432" s="17" t="s">
        <v>3395</v>
      </c>
      <c r="Q1432" s="81" t="s">
        <v>16443</v>
      </c>
      <c r="R1432" s="11">
        <v>26.248435000000001</v>
      </c>
      <c r="S1432" s="11">
        <v>-81.295711999999995</v>
      </c>
      <c r="T1432" s="11" t="s">
        <v>16444</v>
      </c>
      <c r="U1432" s="11" t="s">
        <v>16445</v>
      </c>
      <c r="V1432" s="23" t="s">
        <v>16446</v>
      </c>
      <c r="W1432" s="17" t="s">
        <v>16447</v>
      </c>
      <c r="X1432" s="70">
        <v>25.5</v>
      </c>
      <c r="Y1432" s="71">
        <v>15.6</v>
      </c>
      <c r="Z1432" s="13">
        <v>41044</v>
      </c>
      <c r="AA1432" s="13">
        <v>41239</v>
      </c>
      <c r="AB1432" s="13">
        <v>41311</v>
      </c>
      <c r="AC1432" s="13"/>
      <c r="AD1432" s="86">
        <v>11572</v>
      </c>
      <c r="AE1432" s="87">
        <v>13815</v>
      </c>
      <c r="AF1432" s="71" t="s">
        <v>16433</v>
      </c>
      <c r="AG1432" s="23" t="s">
        <v>16448</v>
      </c>
      <c r="AH1432" s="23" t="s">
        <v>16449</v>
      </c>
      <c r="AI1432" s="71" t="s">
        <v>16450</v>
      </c>
      <c r="AJ1432" s="23" t="s">
        <v>16451</v>
      </c>
      <c r="AK1432" s="17" t="s">
        <v>95</v>
      </c>
      <c r="AL1432" s="23"/>
      <c r="AM1432" s="23"/>
      <c r="AN1432" s="23"/>
      <c r="AO1432" s="23" t="s">
        <v>3766</v>
      </c>
      <c r="AP1432" s="23" t="s">
        <v>16452</v>
      </c>
      <c r="AQ1432" s="23" t="s">
        <v>5652</v>
      </c>
      <c r="AR1432" s="23" t="s">
        <v>16453</v>
      </c>
      <c r="AS1432" s="17"/>
      <c r="AT1432" s="17"/>
      <c r="AU1432" s="32" t="s">
        <v>16454</v>
      </c>
      <c r="AV1432" s="14">
        <v>19438</v>
      </c>
      <c r="AW1432" s="75">
        <v>310453</v>
      </c>
      <c r="AX1432" s="1"/>
      <c r="AY1432" s="17" t="s">
        <v>101</v>
      </c>
    </row>
    <row r="1433" spans="1:51" ht="12.75" customHeight="1" x14ac:dyDescent="0.25">
      <c r="A1433" s="5">
        <v>1346</v>
      </c>
      <c r="B1433" s="9" t="s">
        <v>16455</v>
      </c>
      <c r="C1433" s="9" t="s">
        <v>16456</v>
      </c>
      <c r="D1433" s="57" t="str">
        <f>HYPERLINK("http://prodenv.dep.state.fl.us/DepNexus/public/electronic-documents/OG_1346/facility!search","OG_1346_Docs")</f>
        <v>OG_1346_Docs</v>
      </c>
      <c r="E1433" s="57" t="str">
        <f>HYPERLINK("https://ca.dep.state.fl.us/mapdirect/?focus=oilandgas&amp;zoom=query&amp;querytype=oilandgas&amp;queryvalues=OG_1346","OG_1346_Map")</f>
        <v>OG_1346_Map</v>
      </c>
      <c r="F1433" s="1" t="s">
        <v>265</v>
      </c>
      <c r="G1433" s="1" t="s">
        <v>7239</v>
      </c>
      <c r="H1433" s="1" t="s">
        <v>1363</v>
      </c>
      <c r="I1433" s="1" t="s">
        <v>16457</v>
      </c>
      <c r="J1433" s="17" t="s">
        <v>3646</v>
      </c>
      <c r="K1433" s="17" t="s">
        <v>412</v>
      </c>
      <c r="L1433" s="17"/>
      <c r="M1433" s="17"/>
      <c r="N1433" s="52" t="s">
        <v>16458</v>
      </c>
      <c r="O1433" s="17" t="s">
        <v>270</v>
      </c>
      <c r="P1433" s="17" t="s">
        <v>3395</v>
      </c>
      <c r="Q1433" s="81" t="s">
        <v>16443</v>
      </c>
      <c r="R1433" s="11">
        <v>26.248622000000001</v>
      </c>
      <c r="S1433" s="11">
        <v>-81.297048000000004</v>
      </c>
      <c r="T1433" s="11" t="s">
        <v>16459</v>
      </c>
      <c r="U1433" s="11" t="s">
        <v>16460</v>
      </c>
      <c r="V1433" s="23" t="s">
        <v>16461</v>
      </c>
      <c r="W1433" s="17" t="s">
        <v>16462</v>
      </c>
      <c r="X1433" s="70">
        <v>25.5</v>
      </c>
      <c r="Y1433" s="70">
        <v>15.55</v>
      </c>
      <c r="Z1433" s="13">
        <v>41116</v>
      </c>
      <c r="AA1433" s="13">
        <v>41153</v>
      </c>
      <c r="AB1433" s="13">
        <v>41247</v>
      </c>
      <c r="AC1433" s="13"/>
      <c r="AD1433" s="86">
        <v>11619</v>
      </c>
      <c r="AE1433" s="70">
        <v>15450</v>
      </c>
      <c r="AF1433" s="70" t="s">
        <v>16463</v>
      </c>
      <c r="AG1433" s="17" t="s">
        <v>16464</v>
      </c>
      <c r="AH1433" s="17" t="s">
        <v>16465</v>
      </c>
      <c r="AI1433" s="70" t="s">
        <v>16466</v>
      </c>
      <c r="AJ1433" s="17"/>
      <c r="AK1433" s="17" t="s">
        <v>95</v>
      </c>
      <c r="AL1433" s="17"/>
      <c r="AM1433" s="17"/>
      <c r="AN1433" s="17" t="s">
        <v>98</v>
      </c>
      <c r="AO1433" s="17" t="s">
        <v>16467</v>
      </c>
      <c r="AP1433" s="17" t="s">
        <v>16468</v>
      </c>
      <c r="AQ1433" s="17" t="s">
        <v>16469</v>
      </c>
      <c r="AR1433" s="17" t="s">
        <v>16470</v>
      </c>
      <c r="AS1433" s="17"/>
      <c r="AT1433" s="17"/>
      <c r="AU1433" s="32" t="s">
        <v>16471</v>
      </c>
      <c r="AV1433" s="14">
        <v>19432</v>
      </c>
      <c r="AW1433" s="75">
        <v>311930</v>
      </c>
      <c r="AX1433" s="1" t="s">
        <v>16472</v>
      </c>
      <c r="AY1433" s="17" t="s">
        <v>101</v>
      </c>
    </row>
    <row r="1434" spans="1:51" ht="12.75" customHeight="1" x14ac:dyDescent="0.25">
      <c r="A1434" s="5">
        <v>1347</v>
      </c>
      <c r="B1434" s="9" t="s">
        <v>16473</v>
      </c>
      <c r="C1434" s="9" t="s">
        <v>16474</v>
      </c>
      <c r="D1434" s="57" t="str">
        <f>HYPERLINK("http://prodenv.dep.state.fl.us/DepNexus/public/electronic-documents/OG_1347/facility!search","OG_1347_Docs")</f>
        <v>OG_1347_Docs</v>
      </c>
      <c r="E1434" s="57" t="str">
        <f>HYPERLINK("https://ca.dep.state.fl.us/mapdirect/?focus=oilandgas&amp;zoom=query&amp;querytype=oilandgas&amp;queryvalues=OG_1347","OG_1347_Map")</f>
        <v>OG_1347_Map</v>
      </c>
      <c r="F1434" s="1" t="s">
        <v>1752</v>
      </c>
      <c r="G1434" s="1" t="s">
        <v>4496</v>
      </c>
      <c r="H1434" s="1" t="s">
        <v>12827</v>
      </c>
      <c r="I1434" s="1" t="s">
        <v>16475</v>
      </c>
      <c r="J1434" s="17" t="s">
        <v>207</v>
      </c>
      <c r="K1434" s="17" t="s">
        <v>207</v>
      </c>
      <c r="L1434" s="17"/>
      <c r="M1434" s="17"/>
      <c r="N1434" s="52" t="s">
        <v>207</v>
      </c>
      <c r="O1434" s="17" t="s">
        <v>86</v>
      </c>
      <c r="P1434" s="17" t="s">
        <v>86</v>
      </c>
      <c r="Q1434" s="81"/>
      <c r="R1434" s="11">
        <v>26.531282999999998</v>
      </c>
      <c r="S1434" s="11">
        <v>-81.551781000000005</v>
      </c>
      <c r="T1434" s="11" t="s">
        <v>16476</v>
      </c>
      <c r="U1434" s="11" t="s">
        <v>16477</v>
      </c>
      <c r="V1434" s="17" t="s">
        <v>207</v>
      </c>
      <c r="W1434" s="17" t="s">
        <v>207</v>
      </c>
      <c r="X1434" s="70"/>
      <c r="Y1434" s="70"/>
      <c r="Z1434" s="13"/>
      <c r="AA1434" s="13"/>
      <c r="AB1434" s="67"/>
      <c r="AC1434" s="67"/>
      <c r="AD1434" s="86"/>
      <c r="AE1434" s="70"/>
      <c r="AF1434" s="70" t="s">
        <v>207</v>
      </c>
      <c r="AG1434" s="14" t="s">
        <v>207</v>
      </c>
      <c r="AH1434" s="14" t="s">
        <v>207</v>
      </c>
      <c r="AI1434" s="70" t="s">
        <v>207</v>
      </c>
      <c r="AJ1434" s="14" t="s">
        <v>207</v>
      </c>
      <c r="AK1434" s="14" t="s">
        <v>207</v>
      </c>
      <c r="AL1434" s="14" t="s">
        <v>207</v>
      </c>
      <c r="AM1434" s="14" t="s">
        <v>207</v>
      </c>
      <c r="AN1434" s="14" t="s">
        <v>207</v>
      </c>
      <c r="AO1434" s="14" t="s">
        <v>207</v>
      </c>
      <c r="AP1434" s="14" t="s">
        <v>207</v>
      </c>
      <c r="AQ1434" s="14" t="s">
        <v>207</v>
      </c>
      <c r="AR1434" s="14" t="s">
        <v>207</v>
      </c>
      <c r="AS1434" s="14" t="s">
        <v>207</v>
      </c>
      <c r="AT1434" s="14" t="s">
        <v>207</v>
      </c>
      <c r="AU1434" s="32" t="s">
        <v>15512</v>
      </c>
      <c r="AV1434" s="14" t="s">
        <v>207</v>
      </c>
      <c r="AW1434" s="75"/>
      <c r="AX1434" s="23" t="s">
        <v>16478</v>
      </c>
      <c r="AY1434" s="17" t="s">
        <v>101</v>
      </c>
    </row>
    <row r="1435" spans="1:51" ht="12.75" customHeight="1" x14ac:dyDescent="0.25">
      <c r="A1435" s="5">
        <v>1347.1</v>
      </c>
      <c r="B1435" s="9" t="s">
        <v>16479</v>
      </c>
      <c r="C1435" s="9" t="s">
        <v>16474</v>
      </c>
      <c r="D1435" s="57" t="str">
        <f>HYPERLINK("http://prodenv.dep.state.fl.us/DepNexus/public/electronic-documents/OG_1347/facility!search","OG_1347_Docs")</f>
        <v>OG_1347_Docs</v>
      </c>
      <c r="E1435" s="57" t="str">
        <f>HYPERLINK("https://ca.dep.state.fl.us/mapdirect/?focus=oilandgas&amp;zoom=query&amp;querytype=oilandgas&amp;queryvalues=OG_1347","OG_1347_Map")</f>
        <v>OG_1347_Map</v>
      </c>
      <c r="F1435" s="1" t="s">
        <v>1752</v>
      </c>
      <c r="G1435" s="1" t="s">
        <v>4496</v>
      </c>
      <c r="H1435" s="1" t="s">
        <v>1363</v>
      </c>
      <c r="I1435" s="1" t="s">
        <v>16480</v>
      </c>
      <c r="J1435" s="17" t="s">
        <v>3646</v>
      </c>
      <c r="K1435" s="23" t="s">
        <v>412</v>
      </c>
      <c r="L1435" s="17"/>
      <c r="M1435" s="17"/>
      <c r="N1435" s="52" t="s">
        <v>16481</v>
      </c>
      <c r="O1435" s="17" t="s">
        <v>86</v>
      </c>
      <c r="P1435" s="17" t="s">
        <v>86</v>
      </c>
      <c r="Q1435" s="81" t="s">
        <v>16482</v>
      </c>
      <c r="R1435" s="11">
        <v>26.531282999999998</v>
      </c>
      <c r="S1435" s="11">
        <v>-81.551781000000005</v>
      </c>
      <c r="T1435" s="11" t="s">
        <v>16476</v>
      </c>
      <c r="U1435" s="11" t="s">
        <v>16477</v>
      </c>
      <c r="V1435" s="23" t="s">
        <v>16483</v>
      </c>
      <c r="W1435" s="23" t="s">
        <v>16484</v>
      </c>
      <c r="X1435" s="70">
        <v>25.5</v>
      </c>
      <c r="Y1435" s="70">
        <v>30.2</v>
      </c>
      <c r="Z1435" s="13">
        <v>41486</v>
      </c>
      <c r="AA1435" s="13">
        <v>41562</v>
      </c>
      <c r="AB1435" s="13">
        <v>41657</v>
      </c>
      <c r="AC1435" s="13"/>
      <c r="AD1435" s="86">
        <v>11474</v>
      </c>
      <c r="AE1435" s="70">
        <v>14526</v>
      </c>
      <c r="AF1435" s="70" t="s">
        <v>16485</v>
      </c>
      <c r="AG1435" s="17" t="s">
        <v>16486</v>
      </c>
      <c r="AH1435" s="17" t="s">
        <v>16487</v>
      </c>
      <c r="AI1435" s="70" t="s">
        <v>16488</v>
      </c>
      <c r="AJ1435" s="17" t="s">
        <v>16489</v>
      </c>
      <c r="AK1435" s="17" t="s">
        <v>95</v>
      </c>
      <c r="AL1435" s="17" t="s">
        <v>825</v>
      </c>
      <c r="AM1435" s="17" t="s">
        <v>825</v>
      </c>
      <c r="AN1435" s="17"/>
      <c r="AO1435" s="17" t="s">
        <v>16490</v>
      </c>
      <c r="AP1435" s="17" t="s">
        <v>94</v>
      </c>
      <c r="AQ1435" s="17" t="s">
        <v>16491</v>
      </c>
      <c r="AR1435" s="17" t="s">
        <v>16492</v>
      </c>
      <c r="AS1435" s="17"/>
      <c r="AT1435" s="17"/>
      <c r="AU1435" s="32" t="s">
        <v>16493</v>
      </c>
      <c r="AV1435" s="14">
        <v>19729</v>
      </c>
      <c r="AW1435" s="75">
        <v>313310</v>
      </c>
      <c r="AX1435" s="1"/>
      <c r="AY1435" s="17" t="s">
        <v>101</v>
      </c>
    </row>
    <row r="1436" spans="1:51" ht="12.75" customHeight="1" x14ac:dyDescent="0.25">
      <c r="A1436" s="5">
        <v>1348</v>
      </c>
      <c r="B1436" s="9">
        <v>1348</v>
      </c>
      <c r="C1436" s="9" t="s">
        <v>16494</v>
      </c>
      <c r="D1436" s="57" t="str">
        <f>HYPERLINK("http://prodenv.dep.state.fl.us/DepNexus/public/electronic-documents/OG_1348/facility!search","OG_1348_Docs")</f>
        <v>OG_1348_Docs</v>
      </c>
      <c r="E1436" s="57" t="str">
        <f>HYPERLINK("https://ca.dep.state.fl.us/mapdirect/?focus=oilandgas&amp;zoom=query&amp;querytype=oilandgas&amp;queryvalues=OG_1348","OG_1348_Map")</f>
        <v>OG_1348_Map</v>
      </c>
      <c r="F1436" s="1" t="s">
        <v>1682</v>
      </c>
      <c r="G1436" s="1" t="s">
        <v>79</v>
      </c>
      <c r="H1436" s="1" t="s">
        <v>16495</v>
      </c>
      <c r="I1436" s="1" t="s">
        <v>16496</v>
      </c>
      <c r="J1436" s="17" t="s">
        <v>82</v>
      </c>
      <c r="K1436" s="17" t="s">
        <v>83</v>
      </c>
      <c r="L1436" s="17"/>
      <c r="M1436" s="17"/>
      <c r="N1436" s="52" t="s">
        <v>16497</v>
      </c>
      <c r="O1436" s="17" t="s">
        <v>86</v>
      </c>
      <c r="P1436" s="17" t="s">
        <v>86</v>
      </c>
      <c r="Q1436" s="81" t="s">
        <v>16498</v>
      </c>
      <c r="R1436" s="11">
        <v>30.989087000000001</v>
      </c>
      <c r="S1436" s="11">
        <v>-87.312794999999994</v>
      </c>
      <c r="T1436" s="11" t="s">
        <v>16499</v>
      </c>
      <c r="U1436" s="11" t="s">
        <v>16500</v>
      </c>
      <c r="V1436" s="17" t="s">
        <v>16501</v>
      </c>
      <c r="W1436" s="17" t="s">
        <v>110</v>
      </c>
      <c r="X1436" s="70">
        <v>26.2</v>
      </c>
      <c r="Y1436" s="70">
        <v>24.2</v>
      </c>
      <c r="Z1436" s="13">
        <v>41173</v>
      </c>
      <c r="AA1436" s="13">
        <v>41266</v>
      </c>
      <c r="AB1436" s="13">
        <v>41294</v>
      </c>
      <c r="AC1436" s="13">
        <v>41310</v>
      </c>
      <c r="AD1436" s="86">
        <v>16235</v>
      </c>
      <c r="AE1436" s="86">
        <v>16235</v>
      </c>
      <c r="AF1436" s="70" t="s">
        <v>16502</v>
      </c>
      <c r="AG1436" s="17" t="s">
        <v>16503</v>
      </c>
      <c r="AH1436" s="17" t="s">
        <v>98</v>
      </c>
      <c r="AI1436" s="70" t="s">
        <v>98</v>
      </c>
      <c r="AJ1436" s="17" t="s">
        <v>98</v>
      </c>
      <c r="AK1436" s="17" t="s">
        <v>95</v>
      </c>
      <c r="AL1436" s="17" t="s">
        <v>98</v>
      </c>
      <c r="AM1436" s="17" t="s">
        <v>98</v>
      </c>
      <c r="AN1436" s="17" t="s">
        <v>98</v>
      </c>
      <c r="AO1436" s="17" t="s">
        <v>98</v>
      </c>
      <c r="AP1436" s="17" t="s">
        <v>98</v>
      </c>
      <c r="AQ1436" s="17" t="s">
        <v>98</v>
      </c>
      <c r="AR1436" s="17" t="s">
        <v>98</v>
      </c>
      <c r="AS1436" s="17" t="s">
        <v>16504</v>
      </c>
      <c r="AT1436" s="17"/>
      <c r="AU1436" s="32" t="s">
        <v>16505</v>
      </c>
      <c r="AV1436" s="14">
        <v>19439</v>
      </c>
      <c r="AW1436" s="75">
        <v>312984</v>
      </c>
      <c r="AX1436" s="1"/>
      <c r="AY1436" s="17" t="s">
        <v>101</v>
      </c>
    </row>
    <row r="1437" spans="1:51" ht="12.75" customHeight="1" x14ac:dyDescent="0.25">
      <c r="A1437" s="5">
        <v>1349</v>
      </c>
      <c r="B1437" s="9">
        <v>1349</v>
      </c>
      <c r="C1437" s="9" t="s">
        <v>16506</v>
      </c>
      <c r="D1437" s="57" t="str">
        <f>HYPERLINK("http://prodenv.dep.state.fl.us/DepNexus/public/electronic-documents/OG_1349/facility!search","OG_1349_Docs")</f>
        <v>OG_1349_Docs</v>
      </c>
      <c r="E1437" s="57" t="str">
        <f>HYPERLINK("https://ca.dep.state.fl.us/mapdirect/?focus=oilandgas&amp;zoom=query&amp;querytype=oilandgas&amp;queryvalues=OG_1349","OG_1349_Map")</f>
        <v>OG_1349_Map</v>
      </c>
      <c r="F1437" s="1" t="s">
        <v>265</v>
      </c>
      <c r="G1437" s="1" t="s">
        <v>79</v>
      </c>
      <c r="H1437" s="1" t="s">
        <v>16507</v>
      </c>
      <c r="I1437" s="1" t="s">
        <v>16508</v>
      </c>
      <c r="J1437" s="17" t="s">
        <v>268</v>
      </c>
      <c r="K1437" s="17" t="s">
        <v>2105</v>
      </c>
      <c r="L1437" s="17"/>
      <c r="M1437" s="17"/>
      <c r="N1437" s="52" t="s">
        <v>16509</v>
      </c>
      <c r="O1437" s="23" t="s">
        <v>16510</v>
      </c>
      <c r="P1437" s="23" t="s">
        <v>86</v>
      </c>
      <c r="Q1437" s="81" t="s">
        <v>16511</v>
      </c>
      <c r="R1437" s="11">
        <v>26.372267000000001</v>
      </c>
      <c r="S1437" s="11">
        <v>-81.540865999999994</v>
      </c>
      <c r="T1437" s="11" t="s">
        <v>16512</v>
      </c>
      <c r="U1437" s="11" t="s">
        <v>16513</v>
      </c>
      <c r="V1437" s="23" t="s">
        <v>16514</v>
      </c>
      <c r="W1437" s="23" t="s">
        <v>16515</v>
      </c>
      <c r="X1437" s="70">
        <v>25.5</v>
      </c>
      <c r="Y1437" s="70">
        <v>20.6</v>
      </c>
      <c r="Z1437" s="13">
        <v>41261</v>
      </c>
      <c r="AA1437" s="13">
        <v>41294</v>
      </c>
      <c r="AB1437" s="13">
        <v>41404</v>
      </c>
      <c r="AC1437" s="13">
        <v>42467</v>
      </c>
      <c r="AD1437" s="86">
        <v>11948</v>
      </c>
      <c r="AE1437" s="70">
        <v>16215</v>
      </c>
      <c r="AF1437" s="70" t="s">
        <v>16516</v>
      </c>
      <c r="AG1437" s="17" t="s">
        <v>16517</v>
      </c>
      <c r="AH1437" s="17" t="s">
        <v>16518</v>
      </c>
      <c r="AI1437" s="70" t="s">
        <v>16519</v>
      </c>
      <c r="AJ1437" s="23" t="s">
        <v>16520</v>
      </c>
      <c r="AK1437" s="17" t="s">
        <v>95</v>
      </c>
      <c r="AL1437" s="17" t="s">
        <v>16521</v>
      </c>
      <c r="AM1437" s="29" t="s">
        <v>95</v>
      </c>
      <c r="AN1437" s="17"/>
      <c r="AO1437" s="17"/>
      <c r="AP1437" s="17"/>
      <c r="AQ1437" s="17"/>
      <c r="AR1437" s="17"/>
      <c r="AS1437" s="17"/>
      <c r="AT1437" s="17"/>
      <c r="AU1437" s="32" t="s">
        <v>16522</v>
      </c>
      <c r="AV1437" s="14">
        <v>19455</v>
      </c>
      <c r="AW1437" s="75">
        <v>315034</v>
      </c>
      <c r="AX1437" s="1" t="s">
        <v>16523</v>
      </c>
      <c r="AY1437" s="17" t="s">
        <v>101</v>
      </c>
    </row>
    <row r="1438" spans="1:51" ht="15" customHeight="1" x14ac:dyDescent="0.25">
      <c r="A1438" s="5">
        <v>1350</v>
      </c>
      <c r="B1438" s="9">
        <v>1350</v>
      </c>
      <c r="C1438" s="9" t="s">
        <v>16524</v>
      </c>
      <c r="D1438" s="57" t="str">
        <f>HYPERLINK("http://prodenv.dep.state.fl.us/DepNexus/public/electronic-documents/OG_1350/facility!search","OG_1350_Docs")</f>
        <v>OG_1350_Docs</v>
      </c>
      <c r="E1438" s="57" t="str">
        <f>HYPERLINK("https://ca.dep.state.fl.us/mapdirect/?focus=oilandgas&amp;zoom=query&amp;querytype=oilandgas&amp;queryvalues=OG_1350","OG_1350_Map")</f>
        <v>OG_1350_Map</v>
      </c>
      <c r="F1438" s="1" t="s">
        <v>265</v>
      </c>
      <c r="G1438" s="1" t="s">
        <v>79</v>
      </c>
      <c r="H1438" s="1" t="s">
        <v>16507</v>
      </c>
      <c r="I1438" s="1" t="s">
        <v>16525</v>
      </c>
      <c r="J1438" s="17" t="s">
        <v>207</v>
      </c>
      <c r="K1438" s="23" t="s">
        <v>207</v>
      </c>
      <c r="L1438" s="17"/>
      <c r="M1438" s="23" t="s">
        <v>207</v>
      </c>
      <c r="N1438" s="25" t="s">
        <v>207</v>
      </c>
      <c r="O1438" s="23" t="s">
        <v>16510</v>
      </c>
      <c r="P1438" s="23" t="s">
        <v>86</v>
      </c>
      <c r="Q1438" s="81" t="s">
        <v>16511</v>
      </c>
      <c r="R1438" s="11">
        <v>26.371974999999999</v>
      </c>
      <c r="S1438" s="11">
        <v>-81.541155000000003</v>
      </c>
      <c r="T1438" s="11" t="s">
        <v>16526</v>
      </c>
      <c r="U1438" s="11" t="s">
        <v>16527</v>
      </c>
      <c r="V1438" s="23" t="s">
        <v>16528</v>
      </c>
      <c r="W1438" s="17"/>
      <c r="X1438" s="70"/>
      <c r="Y1438" s="70"/>
      <c r="Z1438" s="13">
        <v>41288</v>
      </c>
      <c r="AA1438" s="26"/>
      <c r="AB1438" s="13"/>
      <c r="AC1438" s="13"/>
      <c r="AD1438" s="70"/>
      <c r="AE1438" s="70"/>
      <c r="AF1438" s="71" t="s">
        <v>207</v>
      </c>
      <c r="AG1438" s="28" t="s">
        <v>207</v>
      </c>
      <c r="AH1438" s="28" t="s">
        <v>207</v>
      </c>
      <c r="AI1438" s="71" t="s">
        <v>207</v>
      </c>
      <c r="AJ1438" s="28" t="s">
        <v>207</v>
      </c>
      <c r="AK1438" s="28" t="s">
        <v>207</v>
      </c>
      <c r="AL1438" s="28" t="s">
        <v>207</v>
      </c>
      <c r="AM1438" s="28" t="s">
        <v>207</v>
      </c>
      <c r="AN1438" s="28" t="s">
        <v>207</v>
      </c>
      <c r="AO1438" s="28" t="s">
        <v>207</v>
      </c>
      <c r="AP1438" s="28" t="s">
        <v>207</v>
      </c>
      <c r="AQ1438" s="28" t="s">
        <v>207</v>
      </c>
      <c r="AR1438" s="28" t="s">
        <v>207</v>
      </c>
      <c r="AS1438" s="28" t="s">
        <v>207</v>
      </c>
      <c r="AT1438" s="28" t="s">
        <v>207</v>
      </c>
      <c r="AU1438" s="28" t="s">
        <v>207</v>
      </c>
      <c r="AV1438" s="13" t="s">
        <v>207</v>
      </c>
      <c r="AW1438" s="75">
        <v>315041</v>
      </c>
      <c r="AX1438" s="1" t="s">
        <v>16529</v>
      </c>
      <c r="AY1438" s="17" t="s">
        <v>101</v>
      </c>
    </row>
    <row r="1439" spans="1:51" ht="12.75" customHeight="1" x14ac:dyDescent="0.25">
      <c r="A1439" s="5">
        <v>1351</v>
      </c>
      <c r="B1439" s="9" t="s">
        <v>16530</v>
      </c>
      <c r="C1439" s="9" t="s">
        <v>16531</v>
      </c>
      <c r="D1439" s="57" t="str">
        <f>HYPERLINK("http://prodenv.dep.state.fl.us/DepNexus/public/electronic-documents/OG_1351/facility!search","OG_1351_Docs")</f>
        <v>OG_1351_Docs</v>
      </c>
      <c r="E1439" s="57" t="str">
        <f>HYPERLINK("https://ca.dep.state.fl.us/mapdirect/?focus=oilandgas&amp;zoom=query&amp;querytype=oilandgas&amp;queryvalues=OG_1351","OG_1351_Map")</f>
        <v>OG_1351_Map</v>
      </c>
      <c r="F1439" s="1" t="s">
        <v>265</v>
      </c>
      <c r="G1439" s="1" t="s">
        <v>10452</v>
      </c>
      <c r="H1439" s="1" t="s">
        <v>16532</v>
      </c>
      <c r="I1439" s="1" t="s">
        <v>16533</v>
      </c>
      <c r="J1439" s="17" t="s">
        <v>207</v>
      </c>
      <c r="K1439" s="23" t="s">
        <v>207</v>
      </c>
      <c r="L1439" s="17"/>
      <c r="M1439" s="23" t="s">
        <v>207</v>
      </c>
      <c r="N1439" s="25" t="s">
        <v>207</v>
      </c>
      <c r="O1439" s="23" t="s">
        <v>16510</v>
      </c>
      <c r="P1439" s="23" t="s">
        <v>3395</v>
      </c>
      <c r="Q1439" s="81" t="s">
        <v>14259</v>
      </c>
      <c r="R1439" s="11">
        <v>25.999254000000001</v>
      </c>
      <c r="S1439" s="11">
        <v>-80.924688000000003</v>
      </c>
      <c r="T1439" s="11" t="s">
        <v>16534</v>
      </c>
      <c r="U1439" s="11" t="s">
        <v>16535</v>
      </c>
      <c r="V1439" s="23" t="s">
        <v>16536</v>
      </c>
      <c r="W1439" s="23" t="s">
        <v>16537</v>
      </c>
      <c r="X1439" s="70"/>
      <c r="Y1439" s="70"/>
      <c r="Z1439" s="13">
        <v>41358</v>
      </c>
      <c r="AA1439" s="26"/>
      <c r="AB1439" s="13"/>
      <c r="AC1439" s="13"/>
      <c r="AD1439" s="86"/>
      <c r="AE1439" s="70"/>
      <c r="AF1439" s="71" t="s">
        <v>207</v>
      </c>
      <c r="AG1439" s="28" t="s">
        <v>207</v>
      </c>
      <c r="AH1439" s="28" t="s">
        <v>207</v>
      </c>
      <c r="AI1439" s="71" t="s">
        <v>207</v>
      </c>
      <c r="AJ1439" s="28" t="s">
        <v>207</v>
      </c>
      <c r="AK1439" s="28" t="s">
        <v>207</v>
      </c>
      <c r="AL1439" s="28" t="s">
        <v>207</v>
      </c>
      <c r="AM1439" s="28" t="s">
        <v>207</v>
      </c>
      <c r="AN1439" s="28" t="s">
        <v>207</v>
      </c>
      <c r="AO1439" s="28" t="s">
        <v>207</v>
      </c>
      <c r="AP1439" s="28" t="s">
        <v>207</v>
      </c>
      <c r="AQ1439" s="28" t="s">
        <v>207</v>
      </c>
      <c r="AR1439" s="28" t="s">
        <v>207</v>
      </c>
      <c r="AS1439" s="28" t="s">
        <v>207</v>
      </c>
      <c r="AT1439" s="28" t="s">
        <v>207</v>
      </c>
      <c r="AU1439" s="28" t="s">
        <v>207</v>
      </c>
      <c r="AV1439" s="14" t="s">
        <v>207</v>
      </c>
      <c r="AW1439" s="75">
        <v>316167</v>
      </c>
      <c r="AX1439" s="1"/>
      <c r="AY1439" s="17" t="s">
        <v>101</v>
      </c>
    </row>
    <row r="1440" spans="1:51" ht="15" customHeight="1" x14ac:dyDescent="0.25">
      <c r="A1440" s="5">
        <v>1352</v>
      </c>
      <c r="B1440" s="9">
        <v>1352</v>
      </c>
      <c r="C1440" s="9" t="s">
        <v>16538</v>
      </c>
      <c r="D1440" s="57" t="str">
        <f>HYPERLINK("http://prodenv.dep.state.fl.us/DepNexus/public/electronic-documents/OG_1352/facility!search","OG_1352_Docs")</f>
        <v>OG_1352_Docs</v>
      </c>
      <c r="E1440" s="57" t="str">
        <f>HYPERLINK("https://ca.dep.state.fl.us/mapdirect/?focus=oilandgas&amp;zoom=query&amp;querytype=oilandgas&amp;queryvalues=OG_1352","OG_1352_Map")</f>
        <v>OG_1352_Map</v>
      </c>
      <c r="F1440" s="1" t="s">
        <v>265</v>
      </c>
      <c r="G1440" s="1" t="s">
        <v>7239</v>
      </c>
      <c r="H1440" s="1" t="s">
        <v>16532</v>
      </c>
      <c r="I1440" s="1" t="s">
        <v>16539</v>
      </c>
      <c r="J1440" s="17" t="s">
        <v>4294</v>
      </c>
      <c r="K1440" s="23" t="s">
        <v>4294</v>
      </c>
      <c r="L1440" s="23"/>
      <c r="M1440" s="23" t="s">
        <v>4294</v>
      </c>
      <c r="N1440" s="25" t="s">
        <v>4294</v>
      </c>
      <c r="O1440" s="23" t="s">
        <v>16510</v>
      </c>
      <c r="P1440" s="23" t="s">
        <v>3395</v>
      </c>
      <c r="Q1440" s="81" t="s">
        <v>10120</v>
      </c>
      <c r="R1440" s="11">
        <v>26.247643</v>
      </c>
      <c r="S1440" s="11">
        <v>-81.304798000000005</v>
      </c>
      <c r="T1440" s="11" t="s">
        <v>16540</v>
      </c>
      <c r="U1440" s="11" t="s">
        <v>16541</v>
      </c>
      <c r="V1440" s="17" t="s">
        <v>16542</v>
      </c>
      <c r="W1440" s="17" t="s">
        <v>16543</v>
      </c>
      <c r="X1440" s="70">
        <v>41.9</v>
      </c>
      <c r="Y1440" s="70">
        <v>16.399999999999999</v>
      </c>
      <c r="Z1440" s="13">
        <v>41356</v>
      </c>
      <c r="AA1440" s="13">
        <v>41416</v>
      </c>
      <c r="AB1440" s="13"/>
      <c r="AC1440" s="13">
        <v>41436</v>
      </c>
      <c r="AD1440" s="86">
        <v>3815</v>
      </c>
      <c r="AE1440" s="86">
        <v>3815</v>
      </c>
      <c r="AF1440" s="71" t="s">
        <v>16544</v>
      </c>
      <c r="AG1440" s="23" t="s">
        <v>16545</v>
      </c>
      <c r="AH1440" s="17" t="s">
        <v>94</v>
      </c>
      <c r="AI1440" s="70" t="s">
        <v>98</v>
      </c>
      <c r="AJ1440" s="17" t="s">
        <v>98</v>
      </c>
      <c r="AK1440" s="17" t="s">
        <v>98</v>
      </c>
      <c r="AL1440" s="17" t="s">
        <v>98</v>
      </c>
      <c r="AM1440" s="17" t="s">
        <v>98</v>
      </c>
      <c r="AN1440" s="17" t="s">
        <v>98</v>
      </c>
      <c r="AO1440" s="17" t="s">
        <v>98</v>
      </c>
      <c r="AP1440" s="17" t="s">
        <v>98</v>
      </c>
      <c r="AQ1440" s="17" t="s">
        <v>98</v>
      </c>
      <c r="AR1440" s="17" t="s">
        <v>98</v>
      </c>
      <c r="AS1440" s="17" t="s">
        <v>16546</v>
      </c>
      <c r="AT1440" s="17" t="s">
        <v>98</v>
      </c>
      <c r="AU1440" s="32" t="s">
        <v>16547</v>
      </c>
      <c r="AV1440" s="14" t="s">
        <v>98</v>
      </c>
      <c r="AW1440" s="75">
        <v>316170</v>
      </c>
      <c r="AX1440" s="1" t="s">
        <v>16548</v>
      </c>
      <c r="AY1440" s="17" t="s">
        <v>101</v>
      </c>
    </row>
    <row r="1441" spans="1:51" ht="12.75" customHeight="1" x14ac:dyDescent="0.25">
      <c r="A1441" s="5">
        <v>1352.1</v>
      </c>
      <c r="B1441" s="9" t="s">
        <v>16549</v>
      </c>
      <c r="C1441" s="9" t="s">
        <v>16538</v>
      </c>
      <c r="D1441" s="57" t="str">
        <f>HYPERLINK("http://prodenv.dep.state.fl.us/DepNexus/public/electronic-documents/OG_1352/facility!search","OG_1352_Docs")</f>
        <v>OG_1352_Docs</v>
      </c>
      <c r="E1441" s="57" t="str">
        <f>HYPERLINK("https://ca.dep.state.fl.us/mapdirect/?focus=oilandgas&amp;zoom=query&amp;querytype=oilandgas&amp;queryvalues=OG_1352","OG_1352_Map")</f>
        <v>OG_1352_Map</v>
      </c>
      <c r="F1441" s="1" t="s">
        <v>265</v>
      </c>
      <c r="G1441" s="1" t="s">
        <v>7239</v>
      </c>
      <c r="H1441" s="1" t="s">
        <v>1363</v>
      </c>
      <c r="I1441" s="1" t="s">
        <v>16550</v>
      </c>
      <c r="J1441" s="17" t="s">
        <v>3646</v>
      </c>
      <c r="K1441" s="17" t="s">
        <v>412</v>
      </c>
      <c r="L1441" s="17"/>
      <c r="M1441" s="17"/>
      <c r="N1441" s="52" t="s">
        <v>16551</v>
      </c>
      <c r="O1441" s="23" t="s">
        <v>16510</v>
      </c>
      <c r="P1441" s="23" t="s">
        <v>3395</v>
      </c>
      <c r="Q1441" s="81" t="s">
        <v>10120</v>
      </c>
      <c r="R1441" s="11">
        <v>26.247643</v>
      </c>
      <c r="S1441" s="11">
        <v>-81.304798000000005</v>
      </c>
      <c r="T1441" s="11" t="s">
        <v>16540</v>
      </c>
      <c r="U1441" s="11" t="s">
        <v>16541</v>
      </c>
      <c r="V1441" s="14" t="s">
        <v>16552</v>
      </c>
      <c r="W1441" s="14" t="s">
        <v>16553</v>
      </c>
      <c r="X1441" s="70">
        <v>41.9</v>
      </c>
      <c r="Y1441" s="70">
        <v>16.399999999999999</v>
      </c>
      <c r="Z1441" s="13">
        <v>41356</v>
      </c>
      <c r="AA1441" s="13">
        <v>41448</v>
      </c>
      <c r="AB1441" s="13">
        <v>41554</v>
      </c>
      <c r="AC1441" s="13"/>
      <c r="AD1441" s="86">
        <v>11620</v>
      </c>
      <c r="AE1441" s="70">
        <v>14692</v>
      </c>
      <c r="AF1441" s="71" t="s">
        <v>16554</v>
      </c>
      <c r="AG1441" s="23" t="s">
        <v>16555</v>
      </c>
      <c r="AH1441" s="23" t="s">
        <v>16556</v>
      </c>
      <c r="AI1441" s="71" t="s">
        <v>16557</v>
      </c>
      <c r="AJ1441" s="23" t="s">
        <v>16558</v>
      </c>
      <c r="AK1441" s="17" t="s">
        <v>95</v>
      </c>
      <c r="AL1441" s="17"/>
      <c r="AM1441" s="17"/>
      <c r="AN1441" s="17" t="s">
        <v>86</v>
      </c>
      <c r="AO1441" s="17"/>
      <c r="AP1441" s="17"/>
      <c r="AQ1441" s="17"/>
      <c r="AR1441" s="17" t="s">
        <v>16559</v>
      </c>
      <c r="AS1441" s="17"/>
      <c r="AT1441" s="17" t="s">
        <v>16560</v>
      </c>
      <c r="AU1441" s="32" t="s">
        <v>16561</v>
      </c>
      <c r="AV1441" s="14">
        <v>19454</v>
      </c>
      <c r="AW1441" s="75">
        <v>316170</v>
      </c>
      <c r="AX1441" s="1"/>
      <c r="AY1441" s="17" t="s">
        <v>101</v>
      </c>
    </row>
    <row r="1442" spans="1:51" ht="15" customHeight="1" x14ac:dyDescent="0.25">
      <c r="A1442" s="5">
        <v>1353</v>
      </c>
      <c r="B1442" s="9" t="s">
        <v>16562</v>
      </c>
      <c r="C1442" s="9" t="s">
        <v>16563</v>
      </c>
      <c r="D1442" s="57" t="str">
        <f>HYPERLINK("http://prodenv.dep.state.fl.us/DepNexus/public/electronic-documents/OG_1353/facility!search","OG_1353_Docs")</f>
        <v>OG_1353_Docs</v>
      </c>
      <c r="E1442" s="57" t="str">
        <f>HYPERLINK("https://ca.dep.state.fl.us/mapdirect/?focus=oilandgas&amp;zoom=query&amp;querytype=oilandgas&amp;queryvalues=OG_1353","OG_1353_Map")</f>
        <v>OG_1353_Map</v>
      </c>
      <c r="F1442" s="1" t="s">
        <v>265</v>
      </c>
      <c r="G1442" s="1" t="s">
        <v>79</v>
      </c>
      <c r="H1442" s="1" t="s">
        <v>16507</v>
      </c>
      <c r="I1442" s="1" t="s">
        <v>16564</v>
      </c>
      <c r="J1442" s="17" t="s">
        <v>207</v>
      </c>
      <c r="K1442" s="23" t="s">
        <v>207</v>
      </c>
      <c r="L1442" s="17"/>
      <c r="M1442" s="23" t="s">
        <v>207</v>
      </c>
      <c r="N1442" s="25" t="s">
        <v>207</v>
      </c>
      <c r="O1442" s="23" t="s">
        <v>16510</v>
      </c>
      <c r="P1442" s="23" t="s">
        <v>86</v>
      </c>
      <c r="Q1442" s="81" t="s">
        <v>16565</v>
      </c>
      <c r="R1442" s="11">
        <v>26.187767000000001</v>
      </c>
      <c r="S1442" s="11">
        <v>-81.503812999999994</v>
      </c>
      <c r="T1442" s="11" t="s">
        <v>16566</v>
      </c>
      <c r="U1442" s="11" t="s">
        <v>16567</v>
      </c>
      <c r="V1442" s="23" t="s">
        <v>16568</v>
      </c>
      <c r="W1442" s="23" t="s">
        <v>16569</v>
      </c>
      <c r="X1442" s="70"/>
      <c r="Y1442" s="70"/>
      <c r="Z1442" s="13">
        <v>41537</v>
      </c>
      <c r="AA1442" s="26"/>
      <c r="AB1442" s="13"/>
      <c r="AC1442" s="13"/>
      <c r="AD1442" s="70"/>
      <c r="AE1442" s="70"/>
      <c r="AF1442" s="70" t="s">
        <v>207</v>
      </c>
      <c r="AG1442" s="14" t="s">
        <v>207</v>
      </c>
      <c r="AH1442" s="14" t="s">
        <v>207</v>
      </c>
      <c r="AI1442" s="70" t="s">
        <v>207</v>
      </c>
      <c r="AJ1442" s="14" t="s">
        <v>207</v>
      </c>
      <c r="AK1442" s="14" t="s">
        <v>207</v>
      </c>
      <c r="AL1442" s="14" t="s">
        <v>207</v>
      </c>
      <c r="AM1442" s="14" t="s">
        <v>207</v>
      </c>
      <c r="AN1442" s="14" t="s">
        <v>207</v>
      </c>
      <c r="AO1442" s="14" t="s">
        <v>207</v>
      </c>
      <c r="AP1442" s="14" t="s">
        <v>207</v>
      </c>
      <c r="AQ1442" s="14" t="s">
        <v>207</v>
      </c>
      <c r="AR1442" s="14" t="s">
        <v>207</v>
      </c>
      <c r="AS1442" s="14" t="s">
        <v>207</v>
      </c>
      <c r="AT1442" s="14" t="s">
        <v>207</v>
      </c>
      <c r="AU1442" s="83" t="s">
        <v>207</v>
      </c>
      <c r="AV1442" s="14" t="s">
        <v>207</v>
      </c>
      <c r="AW1442" s="75">
        <v>318522</v>
      </c>
      <c r="AX1442" s="1"/>
      <c r="AY1442" s="17" t="s">
        <v>101</v>
      </c>
    </row>
    <row r="1443" spans="1:51" ht="12.75" customHeight="1" x14ac:dyDescent="0.25">
      <c r="A1443" s="5">
        <v>1354</v>
      </c>
      <c r="B1443" s="9">
        <v>1354</v>
      </c>
      <c r="C1443" s="9" t="s">
        <v>16570</v>
      </c>
      <c r="D1443" s="57" t="str">
        <f>HYPERLINK("http://prodenv.dep.state.fl.us/DepNexus/public/electronic-documents/OG_1354/facility!search","OG_1354_Docs")</f>
        <v>OG_1354_Docs</v>
      </c>
      <c r="E1443" s="57" t="str">
        <f>HYPERLINK("https://ca.dep.state.fl.us/mapdirect/?focus=oilandgas&amp;zoom=query&amp;querytype=oilandgas&amp;queryvalues=OG_1354","OG_1354_Map")</f>
        <v>OG_1354_Map</v>
      </c>
      <c r="F1443" s="1" t="s">
        <v>265</v>
      </c>
      <c r="G1443" s="1" t="s">
        <v>79</v>
      </c>
      <c r="H1443" s="1" t="s">
        <v>16507</v>
      </c>
      <c r="I1443" s="1" t="s">
        <v>16571</v>
      </c>
      <c r="J1443" s="17" t="s">
        <v>207</v>
      </c>
      <c r="K1443" s="23" t="s">
        <v>207</v>
      </c>
      <c r="L1443" s="17"/>
      <c r="M1443" s="23" t="s">
        <v>207</v>
      </c>
      <c r="N1443" s="25" t="s">
        <v>207</v>
      </c>
      <c r="O1443" s="23" t="s">
        <v>16510</v>
      </c>
      <c r="P1443" s="23" t="s">
        <v>86</v>
      </c>
      <c r="Q1443" s="81" t="s">
        <v>16565</v>
      </c>
      <c r="R1443" s="11">
        <v>26.188123999999998</v>
      </c>
      <c r="S1443" s="11">
        <v>-81.503416999999999</v>
      </c>
      <c r="T1443" s="11" t="s">
        <v>16572</v>
      </c>
      <c r="U1443" s="11" t="s">
        <v>16573</v>
      </c>
      <c r="V1443" s="23" t="s">
        <v>16574</v>
      </c>
      <c r="W1443" s="23" t="s">
        <v>110</v>
      </c>
      <c r="X1443" s="70"/>
      <c r="Y1443" s="70"/>
      <c r="Z1443" s="26">
        <v>41537</v>
      </c>
      <c r="AA1443" s="26"/>
      <c r="AB1443" s="13"/>
      <c r="AC1443" s="13"/>
      <c r="AD1443" s="70"/>
      <c r="AE1443" s="70"/>
      <c r="AF1443" s="70" t="s">
        <v>207</v>
      </c>
      <c r="AG1443" s="14" t="s">
        <v>207</v>
      </c>
      <c r="AH1443" s="14" t="s">
        <v>207</v>
      </c>
      <c r="AI1443" s="70" t="s">
        <v>207</v>
      </c>
      <c r="AJ1443" s="14" t="s">
        <v>207</v>
      </c>
      <c r="AK1443" s="14" t="s">
        <v>207</v>
      </c>
      <c r="AL1443" s="14" t="s">
        <v>207</v>
      </c>
      <c r="AM1443" s="14" t="s">
        <v>207</v>
      </c>
      <c r="AN1443" s="14" t="s">
        <v>207</v>
      </c>
      <c r="AO1443" s="14" t="s">
        <v>207</v>
      </c>
      <c r="AP1443" s="14" t="s">
        <v>207</v>
      </c>
      <c r="AQ1443" s="14" t="s">
        <v>207</v>
      </c>
      <c r="AR1443" s="14" t="s">
        <v>207</v>
      </c>
      <c r="AS1443" s="14" t="s">
        <v>207</v>
      </c>
      <c r="AT1443" s="14" t="s">
        <v>207</v>
      </c>
      <c r="AU1443" s="83" t="s">
        <v>207</v>
      </c>
      <c r="AV1443" s="14" t="s">
        <v>207</v>
      </c>
      <c r="AW1443" s="75">
        <v>318387</v>
      </c>
      <c r="AX1443" s="1" t="s">
        <v>16575</v>
      </c>
      <c r="AY1443" s="17" t="s">
        <v>101</v>
      </c>
    </row>
    <row r="1444" spans="1:51" ht="12.75" customHeight="1" x14ac:dyDescent="0.25">
      <c r="A1444" s="5">
        <v>1355</v>
      </c>
      <c r="B1444" s="9" t="s">
        <v>16576</v>
      </c>
      <c r="C1444" s="9" t="s">
        <v>16577</v>
      </c>
      <c r="D1444" s="57" t="str">
        <f>HYPERLINK("http://prodenv.dep.state.fl.us/DepNexus/public/electronic-documents/OG_1355/facility!search","OG_1355_Docs")</f>
        <v>OG_1355_Docs</v>
      </c>
      <c r="E1444" s="57" t="str">
        <f>HYPERLINK("https://ca.dep.state.fl.us/mapdirect/?focus=oilandgas&amp;zoom=query&amp;querytype=oilandgas&amp;queryvalues=OG_1355","OG_1355_Map")</f>
        <v>OG_1355_Map</v>
      </c>
      <c r="F1444" s="1" t="s">
        <v>265</v>
      </c>
      <c r="G1444" s="1" t="s">
        <v>79</v>
      </c>
      <c r="H1444" s="1" t="s">
        <v>16507</v>
      </c>
      <c r="I1444" s="1" t="s">
        <v>16578</v>
      </c>
      <c r="J1444" s="17" t="s">
        <v>207</v>
      </c>
      <c r="K1444" s="23" t="s">
        <v>207</v>
      </c>
      <c r="L1444" s="17"/>
      <c r="M1444" s="23" t="s">
        <v>207</v>
      </c>
      <c r="N1444" s="25" t="s">
        <v>207</v>
      </c>
      <c r="O1444" s="23" t="s">
        <v>16510</v>
      </c>
      <c r="P1444" s="17"/>
      <c r="Q1444" s="81" t="s">
        <v>16579</v>
      </c>
      <c r="R1444" s="11">
        <v>26.404339</v>
      </c>
      <c r="S1444" s="11">
        <v>-81.463819999999998</v>
      </c>
      <c r="T1444" s="11" t="s">
        <v>16580</v>
      </c>
      <c r="U1444" s="11" t="s">
        <v>16581</v>
      </c>
      <c r="V1444" s="23" t="s">
        <v>16582</v>
      </c>
      <c r="W1444" s="23" t="s">
        <v>16583</v>
      </c>
      <c r="X1444" s="70"/>
      <c r="Y1444" s="70"/>
      <c r="Z1444" s="13">
        <v>41502</v>
      </c>
      <c r="AA1444" s="26"/>
      <c r="AB1444" s="13"/>
      <c r="AC1444" s="13"/>
      <c r="AD1444" s="70"/>
      <c r="AE1444" s="70"/>
      <c r="AF1444" s="70" t="s">
        <v>207</v>
      </c>
      <c r="AG1444" s="14" t="s">
        <v>207</v>
      </c>
      <c r="AH1444" s="14" t="s">
        <v>207</v>
      </c>
      <c r="AI1444" s="70" t="s">
        <v>207</v>
      </c>
      <c r="AJ1444" s="14" t="s">
        <v>207</v>
      </c>
      <c r="AK1444" s="14" t="s">
        <v>207</v>
      </c>
      <c r="AL1444" s="14" t="s">
        <v>207</v>
      </c>
      <c r="AM1444" s="14" t="s">
        <v>207</v>
      </c>
      <c r="AN1444" s="14" t="s">
        <v>207</v>
      </c>
      <c r="AO1444" s="14" t="s">
        <v>207</v>
      </c>
      <c r="AP1444" s="14" t="s">
        <v>207</v>
      </c>
      <c r="AQ1444" s="14" t="s">
        <v>207</v>
      </c>
      <c r="AR1444" s="14" t="s">
        <v>207</v>
      </c>
      <c r="AS1444" s="14" t="s">
        <v>207</v>
      </c>
      <c r="AT1444" s="14" t="s">
        <v>207</v>
      </c>
      <c r="AU1444" s="83" t="s">
        <v>207</v>
      </c>
      <c r="AV1444" s="14" t="s">
        <v>207</v>
      </c>
      <c r="AW1444" s="75">
        <v>318886</v>
      </c>
      <c r="AX1444" s="1"/>
      <c r="AY1444" s="17" t="s">
        <v>101</v>
      </c>
    </row>
    <row r="1445" spans="1:51" ht="12.75" customHeight="1" x14ac:dyDescent="0.25">
      <c r="A1445" s="5">
        <v>1356</v>
      </c>
      <c r="B1445" s="9">
        <v>1356</v>
      </c>
      <c r="C1445" s="9" t="s">
        <v>16584</v>
      </c>
      <c r="D1445" s="57" t="str">
        <f>HYPERLINK("http://prodenv.dep.state.fl.us/DepNexus/public/electronic-documents/OG_1356/facility!search","OG_1356_Docs")</f>
        <v>OG_1356_Docs</v>
      </c>
      <c r="E1445" s="57" t="str">
        <f>HYPERLINK("https://ca.dep.state.fl.us/mapdirect/?focus=oilandgas&amp;zoom=query&amp;querytype=oilandgas&amp;queryvalues=OG_1356","OG_1356_Map")</f>
        <v>OG_1356_Map</v>
      </c>
      <c r="F1445" s="1" t="s">
        <v>265</v>
      </c>
      <c r="G1445" s="1" t="s">
        <v>79</v>
      </c>
      <c r="H1445" s="1" t="s">
        <v>16507</v>
      </c>
      <c r="I1445" s="1" t="s">
        <v>16585</v>
      </c>
      <c r="J1445" s="17" t="s">
        <v>207</v>
      </c>
      <c r="K1445" s="23" t="s">
        <v>207</v>
      </c>
      <c r="L1445" s="17"/>
      <c r="M1445" s="23" t="s">
        <v>207</v>
      </c>
      <c r="N1445" s="25" t="s">
        <v>207</v>
      </c>
      <c r="O1445" s="23" t="s">
        <v>16510</v>
      </c>
      <c r="P1445" s="17"/>
      <c r="Q1445" s="81" t="s">
        <v>16579</v>
      </c>
      <c r="R1445" s="11">
        <v>26.403956999999998</v>
      </c>
      <c r="S1445" s="11">
        <v>-81.464049000000003</v>
      </c>
      <c r="T1445" s="11" t="s">
        <v>16586</v>
      </c>
      <c r="U1445" s="11" t="s">
        <v>16587</v>
      </c>
      <c r="V1445" s="23" t="s">
        <v>16588</v>
      </c>
      <c r="W1445" s="23" t="s">
        <v>110</v>
      </c>
      <c r="X1445" s="70"/>
      <c r="Y1445" s="70"/>
      <c r="Z1445" s="13">
        <v>41502</v>
      </c>
      <c r="AA1445" s="26"/>
      <c r="AB1445" s="13"/>
      <c r="AC1445" s="13"/>
      <c r="AD1445" s="70"/>
      <c r="AE1445" s="70"/>
      <c r="AF1445" s="70" t="s">
        <v>207</v>
      </c>
      <c r="AG1445" s="14" t="s">
        <v>207</v>
      </c>
      <c r="AH1445" s="14" t="s">
        <v>207</v>
      </c>
      <c r="AI1445" s="70" t="s">
        <v>207</v>
      </c>
      <c r="AJ1445" s="14" t="s">
        <v>207</v>
      </c>
      <c r="AK1445" s="14" t="s">
        <v>207</v>
      </c>
      <c r="AL1445" s="14" t="s">
        <v>207</v>
      </c>
      <c r="AM1445" s="14" t="s">
        <v>207</v>
      </c>
      <c r="AN1445" s="14" t="s">
        <v>207</v>
      </c>
      <c r="AO1445" s="14" t="s">
        <v>207</v>
      </c>
      <c r="AP1445" s="14" t="s">
        <v>207</v>
      </c>
      <c r="AQ1445" s="14" t="s">
        <v>207</v>
      </c>
      <c r="AR1445" s="14" t="s">
        <v>207</v>
      </c>
      <c r="AS1445" s="14" t="s">
        <v>207</v>
      </c>
      <c r="AT1445" s="14" t="s">
        <v>207</v>
      </c>
      <c r="AU1445" s="83" t="s">
        <v>207</v>
      </c>
      <c r="AV1445" s="14" t="s">
        <v>207</v>
      </c>
      <c r="AW1445" s="75">
        <v>319083</v>
      </c>
      <c r="AX1445" s="1" t="s">
        <v>16589</v>
      </c>
      <c r="AY1445" s="17" t="s">
        <v>101</v>
      </c>
    </row>
    <row r="1446" spans="1:51" ht="15" customHeight="1" x14ac:dyDescent="0.25">
      <c r="A1446" s="5">
        <v>1357</v>
      </c>
      <c r="B1446" s="9">
        <v>1357</v>
      </c>
      <c r="C1446" s="9" t="s">
        <v>16590</v>
      </c>
      <c r="D1446" s="57" t="str">
        <f>HYPERLINK("http://prodenv.dep.state.fl.us/DepNexus/public/electronic-documents/OG_1357/facility!search","OG_1357_Docs")</f>
        <v>OG_1357_Docs</v>
      </c>
      <c r="E1446" s="57" t="str">
        <f>HYPERLINK("https://ca.dep.state.fl.us/mapdirect/?focus=oilandgas&amp;zoom=query&amp;querytype=oilandgas&amp;queryvalues=OG_1357","OG_1357_Map")</f>
        <v>OG_1357_Map</v>
      </c>
      <c r="F1446" s="1" t="s">
        <v>1752</v>
      </c>
      <c r="G1446" s="1" t="s">
        <v>79</v>
      </c>
      <c r="H1446" s="1" t="s">
        <v>16591</v>
      </c>
      <c r="I1446" s="1" t="s">
        <v>16592</v>
      </c>
      <c r="J1446" s="17" t="s">
        <v>207</v>
      </c>
      <c r="K1446" s="23" t="s">
        <v>16478</v>
      </c>
      <c r="L1446" s="17"/>
      <c r="M1446" s="17"/>
      <c r="N1446" s="25" t="s">
        <v>16478</v>
      </c>
      <c r="O1446" s="23" t="s">
        <v>16478</v>
      </c>
      <c r="P1446" s="23" t="s">
        <v>16478</v>
      </c>
      <c r="Q1446" s="81" t="s">
        <v>16593</v>
      </c>
      <c r="R1446" s="11">
        <v>26.647717</v>
      </c>
      <c r="S1446" s="11">
        <v>-81.147447</v>
      </c>
      <c r="T1446" s="11" t="s">
        <v>16594</v>
      </c>
      <c r="U1446" s="11" t="s">
        <v>16595</v>
      </c>
      <c r="V1446" s="14" t="s">
        <v>16596</v>
      </c>
      <c r="W1446" s="23" t="s">
        <v>16478</v>
      </c>
      <c r="X1446" s="71"/>
      <c r="Y1446" s="71">
        <v>26</v>
      </c>
      <c r="Z1446" s="26"/>
      <c r="AA1446" s="26"/>
      <c r="AB1446" s="13"/>
      <c r="AC1446" s="26"/>
      <c r="AD1446" s="71"/>
      <c r="AE1446" s="71"/>
      <c r="AF1446" s="71" t="s">
        <v>16478</v>
      </c>
      <c r="AG1446" s="23" t="s">
        <v>16478</v>
      </c>
      <c r="AH1446" s="23" t="s">
        <v>16478</v>
      </c>
      <c r="AI1446" s="71" t="s">
        <v>16478</v>
      </c>
      <c r="AJ1446" s="23" t="s">
        <v>16478</v>
      </c>
      <c r="AK1446" s="23" t="s">
        <v>16478</v>
      </c>
      <c r="AL1446" s="23" t="s">
        <v>16478</v>
      </c>
      <c r="AM1446" s="23" t="s">
        <v>16478</v>
      </c>
      <c r="AN1446" s="23" t="s">
        <v>16478</v>
      </c>
      <c r="AO1446" s="23" t="s">
        <v>16478</v>
      </c>
      <c r="AP1446" s="23" t="s">
        <v>16478</v>
      </c>
      <c r="AQ1446" s="23" t="s">
        <v>16478</v>
      </c>
      <c r="AR1446" s="23" t="s">
        <v>16478</v>
      </c>
      <c r="AS1446" s="23" t="s">
        <v>16478</v>
      </c>
      <c r="AT1446" s="23" t="s">
        <v>16478</v>
      </c>
      <c r="AU1446" s="32" t="s">
        <v>16478</v>
      </c>
      <c r="AV1446" s="27" t="s">
        <v>16478</v>
      </c>
      <c r="AW1446" s="75">
        <v>319109</v>
      </c>
      <c r="AX1446" s="23" t="s">
        <v>16478</v>
      </c>
      <c r="AY1446" s="17" t="s">
        <v>101</v>
      </c>
    </row>
    <row r="1447" spans="1:51" ht="12.75" customHeight="1" x14ac:dyDescent="0.25">
      <c r="A1447" s="5">
        <v>1359</v>
      </c>
      <c r="B1447" s="9">
        <v>1359</v>
      </c>
      <c r="C1447" s="9" t="s">
        <v>16597</v>
      </c>
      <c r="D1447" s="57" t="str">
        <f>HYPERLINK("http://prodenv.dep.state.fl.us/DepNexus/public/electronic-documents/OG_1359/facility!search","OG_1359_Docs")</f>
        <v>OG_1359_Docs</v>
      </c>
      <c r="E1447" s="57" t="str">
        <f>HYPERLINK("https://ca.dep.state.fl.us/mapdirect/?focus=oilandgas&amp;zoom=query&amp;querytype=oilandgas&amp;queryvalues=OG_1359","OG_1359_Map")</f>
        <v>OG_1359_Map</v>
      </c>
      <c r="F1447" s="1" t="s">
        <v>841</v>
      </c>
      <c r="G1447" s="1" t="s">
        <v>79</v>
      </c>
      <c r="H1447" s="24" t="s">
        <v>16333</v>
      </c>
      <c r="I1447" s="1" t="s">
        <v>16598</v>
      </c>
      <c r="J1447" s="17" t="s">
        <v>82</v>
      </c>
      <c r="K1447" s="23" t="s">
        <v>83</v>
      </c>
      <c r="L1447" s="17"/>
      <c r="M1447" s="17"/>
      <c r="N1447" s="25"/>
      <c r="O1447" s="23" t="s">
        <v>86</v>
      </c>
      <c r="P1447" s="23" t="s">
        <v>86</v>
      </c>
      <c r="Q1447" s="81" t="s">
        <v>16599</v>
      </c>
      <c r="R1447" s="11">
        <v>30.935290999999999</v>
      </c>
      <c r="S1447" s="11">
        <v>-85.960178999999997</v>
      </c>
      <c r="T1447" s="11" t="s">
        <v>16600</v>
      </c>
      <c r="U1447" s="11" t="s">
        <v>16601</v>
      </c>
      <c r="V1447" s="23" t="s">
        <v>16602</v>
      </c>
      <c r="W1447" s="17" t="s">
        <v>110</v>
      </c>
      <c r="X1447" s="70">
        <v>124</v>
      </c>
      <c r="Y1447" s="70">
        <v>121</v>
      </c>
      <c r="Z1447" s="26">
        <v>41705</v>
      </c>
      <c r="AA1447" s="13">
        <v>41804</v>
      </c>
      <c r="AB1447" s="13">
        <v>41848</v>
      </c>
      <c r="AC1447" s="13">
        <v>41848</v>
      </c>
      <c r="AD1447" s="86">
        <v>2004</v>
      </c>
      <c r="AE1447" s="86">
        <v>2004</v>
      </c>
      <c r="AF1447" s="71" t="s">
        <v>16603</v>
      </c>
      <c r="AG1447" s="23" t="s">
        <v>16604</v>
      </c>
      <c r="AH1447" s="17" t="s">
        <v>94</v>
      </c>
      <c r="AI1447" s="70" t="s">
        <v>94</v>
      </c>
      <c r="AJ1447" s="17" t="s">
        <v>94</v>
      </c>
      <c r="AK1447" s="17" t="s">
        <v>94</v>
      </c>
      <c r="AL1447" s="17" t="s">
        <v>94</v>
      </c>
      <c r="AM1447" s="17" t="s">
        <v>94</v>
      </c>
      <c r="AN1447" s="17" t="s">
        <v>94</v>
      </c>
      <c r="AO1447" s="17" t="s">
        <v>98</v>
      </c>
      <c r="AP1447" s="17" t="s">
        <v>98</v>
      </c>
      <c r="AQ1447" s="17" t="s">
        <v>98</v>
      </c>
      <c r="AR1447" s="17" t="s">
        <v>94</v>
      </c>
      <c r="AS1447" s="17" t="s">
        <v>16605</v>
      </c>
      <c r="AT1447" s="17"/>
      <c r="AU1447" s="32" t="s">
        <v>16606</v>
      </c>
      <c r="AV1447" s="14"/>
      <c r="AW1447" s="75">
        <v>321505</v>
      </c>
      <c r="AX1447" s="1"/>
      <c r="AY1447" s="17" t="s">
        <v>101</v>
      </c>
    </row>
    <row r="1448" spans="1:51" ht="12.75" customHeight="1" x14ac:dyDescent="0.25">
      <c r="A1448" s="5">
        <v>1360</v>
      </c>
      <c r="B1448" s="9">
        <v>1360</v>
      </c>
      <c r="C1448" s="9" t="s">
        <v>16607</v>
      </c>
      <c r="D1448" s="57" t="str">
        <f>HYPERLINK("http://prodenv.dep.state.fl.us/DepNexus/public/electronic-documents/OG_1360/facility!search","OG_1360_Docs")</f>
        <v>OG_1360_Docs</v>
      </c>
      <c r="E1448" s="57" t="str">
        <f>HYPERLINK("https://ca.dep.state.fl.us/mapdirect/?focus=oilandgas&amp;zoom=query&amp;querytype=oilandgas&amp;queryvalues=OG_1360","OG_1360_Map")</f>
        <v>OG_1360_Map</v>
      </c>
      <c r="F1448" s="1" t="s">
        <v>2026</v>
      </c>
      <c r="G1448" s="1" t="s">
        <v>79</v>
      </c>
      <c r="H1448" s="24" t="s">
        <v>16333</v>
      </c>
      <c r="I1448" s="1" t="s">
        <v>16608</v>
      </c>
      <c r="J1448" s="23" t="s">
        <v>207</v>
      </c>
      <c r="K1448" s="23" t="s">
        <v>16478</v>
      </c>
      <c r="L1448" s="17"/>
      <c r="M1448" s="23"/>
      <c r="N1448" s="25" t="s">
        <v>16478</v>
      </c>
      <c r="O1448" s="23" t="s">
        <v>16478</v>
      </c>
      <c r="P1448" s="23" t="s">
        <v>16478</v>
      </c>
      <c r="Q1448" s="81" t="s">
        <v>16609</v>
      </c>
      <c r="R1448" s="11">
        <v>26.441030999999999</v>
      </c>
      <c r="S1448" s="11">
        <v>-81.566918999999999</v>
      </c>
      <c r="T1448" s="11" t="s">
        <v>16610</v>
      </c>
      <c r="U1448" s="11" t="s">
        <v>16611</v>
      </c>
      <c r="V1448" s="23" t="s">
        <v>16612</v>
      </c>
      <c r="W1448" s="23" t="s">
        <v>110</v>
      </c>
      <c r="X1448" s="70"/>
      <c r="Y1448" s="70"/>
      <c r="Z1448" s="26"/>
      <c r="AA1448" s="13"/>
      <c r="AB1448" s="13"/>
      <c r="AC1448" s="13"/>
      <c r="AD1448" s="70"/>
      <c r="AE1448" s="70"/>
      <c r="AF1448" s="70" t="s">
        <v>207</v>
      </c>
      <c r="AG1448" s="14" t="s">
        <v>207</v>
      </c>
      <c r="AH1448" s="14" t="s">
        <v>207</v>
      </c>
      <c r="AI1448" s="70" t="s">
        <v>207</v>
      </c>
      <c r="AJ1448" s="14" t="s">
        <v>207</v>
      </c>
      <c r="AK1448" s="14" t="s">
        <v>207</v>
      </c>
      <c r="AL1448" s="14" t="s">
        <v>207</v>
      </c>
      <c r="AM1448" s="14" t="s">
        <v>207</v>
      </c>
      <c r="AN1448" s="14" t="s">
        <v>207</v>
      </c>
      <c r="AO1448" s="14" t="s">
        <v>207</v>
      </c>
      <c r="AP1448" s="14" t="s">
        <v>207</v>
      </c>
      <c r="AQ1448" s="14" t="s">
        <v>207</v>
      </c>
      <c r="AR1448" s="14" t="s">
        <v>207</v>
      </c>
      <c r="AS1448" s="14" t="s">
        <v>207</v>
      </c>
      <c r="AT1448" s="14" t="s">
        <v>207</v>
      </c>
      <c r="AU1448" s="83" t="s">
        <v>207</v>
      </c>
      <c r="AV1448" s="13" t="s">
        <v>207</v>
      </c>
      <c r="AW1448" s="75">
        <v>326034</v>
      </c>
      <c r="AX1448" s="23" t="s">
        <v>16478</v>
      </c>
      <c r="AY1448" s="17" t="s">
        <v>101</v>
      </c>
    </row>
    <row r="1449" spans="1:51" ht="12.75" customHeight="1" x14ac:dyDescent="0.25">
      <c r="A1449" s="5">
        <v>1361</v>
      </c>
      <c r="B1449" s="9">
        <v>1361</v>
      </c>
      <c r="C1449" s="9" t="s">
        <v>16613</v>
      </c>
      <c r="D1449" s="57" t="str">
        <f>HYPERLINK("http://prodenv.dep.state.fl.us/DepNexus/public/electronic-documents/OG_1361/facility!search","OG_1361_Docs")</f>
        <v>OG_1361_Docs</v>
      </c>
      <c r="E1449" s="57" t="str">
        <f>HYPERLINK("https://ca.dep.state.fl.us/mapdirect/?focus=oilandgas&amp;zoom=query&amp;querytype=oilandgas&amp;queryvalues=OG_1361","OG_1361_Map")</f>
        <v>OG_1361_Map</v>
      </c>
      <c r="F1449" s="1" t="s">
        <v>1797</v>
      </c>
      <c r="G1449" s="1" t="s">
        <v>79</v>
      </c>
      <c r="H1449" s="1" t="s">
        <v>15835</v>
      </c>
      <c r="I1449" s="1" t="s">
        <v>16614</v>
      </c>
      <c r="J1449" s="23" t="s">
        <v>207</v>
      </c>
      <c r="K1449" s="17" t="s">
        <v>15808</v>
      </c>
      <c r="L1449" s="17"/>
      <c r="M1449" s="17"/>
      <c r="N1449" s="25" t="s">
        <v>207</v>
      </c>
      <c r="O1449" s="17" t="s">
        <v>86</v>
      </c>
      <c r="P1449" s="17" t="s">
        <v>86</v>
      </c>
      <c r="Q1449" s="81" t="s">
        <v>16615</v>
      </c>
      <c r="R1449" s="11">
        <v>30.929715999999999</v>
      </c>
      <c r="S1449" s="11">
        <v>-87.101794999999996</v>
      </c>
      <c r="T1449" s="11" t="s">
        <v>16616</v>
      </c>
      <c r="U1449" s="11" t="s">
        <v>16617</v>
      </c>
      <c r="V1449" s="23" t="s">
        <v>16618</v>
      </c>
      <c r="W1449" s="17"/>
      <c r="X1449" s="71"/>
      <c r="Y1449" s="71"/>
      <c r="Z1449" s="13">
        <v>41572</v>
      </c>
      <c r="AA1449" s="13"/>
      <c r="AB1449" s="26"/>
      <c r="AC1449" s="26"/>
      <c r="AD1449" s="71"/>
      <c r="AE1449" s="71"/>
      <c r="AF1449" s="70" t="s">
        <v>207</v>
      </c>
      <c r="AG1449" s="14" t="s">
        <v>207</v>
      </c>
      <c r="AH1449" s="14" t="s">
        <v>207</v>
      </c>
      <c r="AI1449" s="70" t="s">
        <v>207</v>
      </c>
      <c r="AJ1449" s="14" t="s">
        <v>207</v>
      </c>
      <c r="AK1449" s="14" t="s">
        <v>207</v>
      </c>
      <c r="AL1449" s="14" t="s">
        <v>207</v>
      </c>
      <c r="AM1449" s="14" t="s">
        <v>207</v>
      </c>
      <c r="AN1449" s="14" t="s">
        <v>207</v>
      </c>
      <c r="AO1449" s="14" t="s">
        <v>207</v>
      </c>
      <c r="AP1449" s="14" t="s">
        <v>207</v>
      </c>
      <c r="AQ1449" s="14" t="s">
        <v>207</v>
      </c>
      <c r="AR1449" s="14" t="s">
        <v>207</v>
      </c>
      <c r="AS1449" s="14" t="s">
        <v>207</v>
      </c>
      <c r="AT1449" s="14" t="s">
        <v>207</v>
      </c>
      <c r="AU1449" s="83" t="s">
        <v>207</v>
      </c>
      <c r="AV1449" s="27" t="s">
        <v>207</v>
      </c>
      <c r="AW1449" s="75">
        <v>319212</v>
      </c>
      <c r="AX1449" s="17"/>
      <c r="AY1449" s="17" t="s">
        <v>101</v>
      </c>
    </row>
    <row r="1450" spans="1:51" ht="12.75" customHeight="1" x14ac:dyDescent="0.25">
      <c r="A1450" s="5">
        <v>1362</v>
      </c>
      <c r="B1450" s="9">
        <v>1362</v>
      </c>
      <c r="C1450" s="9" t="s">
        <v>16619</v>
      </c>
      <c r="D1450" s="57" t="str">
        <f>HYPERLINK("http://prodenv.dep.state.fl.us/DepNexus/public/electronic-documents/OG_1362/facility!search","OG_1362_Docs")</f>
        <v>OG_1362_Docs</v>
      </c>
      <c r="E1450" s="57" t="str">
        <f>HYPERLINK("https://ca.dep.state.fl.us/mapdirect/?focus=oilandgas&amp;zoom=query&amp;querytype=oilandgas&amp;queryvalues=OG_1362","OG_1362_Map")</f>
        <v>OG_1362_Map</v>
      </c>
      <c r="F1450" s="1" t="s">
        <v>1797</v>
      </c>
      <c r="G1450" s="1" t="s">
        <v>5133</v>
      </c>
      <c r="H1450" s="1" t="s">
        <v>1363</v>
      </c>
      <c r="I1450" s="1" t="s">
        <v>16620</v>
      </c>
      <c r="J1450" s="17" t="s">
        <v>3646</v>
      </c>
      <c r="K1450" s="17" t="s">
        <v>412</v>
      </c>
      <c r="L1450" s="17"/>
      <c r="M1450" s="17"/>
      <c r="N1450" s="25" t="s">
        <v>16621</v>
      </c>
      <c r="O1450" s="17" t="s">
        <v>86</v>
      </c>
      <c r="P1450" s="17" t="s">
        <v>86</v>
      </c>
      <c r="Q1450" s="81" t="s">
        <v>16622</v>
      </c>
      <c r="R1450" s="11">
        <v>30.956323000000001</v>
      </c>
      <c r="S1450" s="11">
        <v>-87.158472000000003</v>
      </c>
      <c r="T1450" s="11" t="s">
        <v>16623</v>
      </c>
      <c r="U1450" s="11" t="s">
        <v>16624</v>
      </c>
      <c r="V1450" s="17" t="s">
        <v>16625</v>
      </c>
      <c r="W1450" s="17" t="s">
        <v>110</v>
      </c>
      <c r="X1450" s="71">
        <v>281.5</v>
      </c>
      <c r="Y1450" s="71">
        <v>256.5</v>
      </c>
      <c r="Z1450" s="13">
        <v>41953</v>
      </c>
      <c r="AA1450" s="13">
        <v>42090</v>
      </c>
      <c r="AB1450" s="13">
        <v>42279</v>
      </c>
      <c r="AC1450" s="13"/>
      <c r="AD1450" s="86">
        <v>15875</v>
      </c>
      <c r="AE1450" s="86">
        <v>15875</v>
      </c>
      <c r="AF1450" s="71" t="s">
        <v>16626</v>
      </c>
      <c r="AG1450" s="23" t="s">
        <v>16627</v>
      </c>
      <c r="AH1450" s="23" t="s">
        <v>94</v>
      </c>
      <c r="AI1450" s="71" t="s">
        <v>16628</v>
      </c>
      <c r="AJ1450" s="23" t="s">
        <v>16629</v>
      </c>
      <c r="AK1450" s="17" t="s">
        <v>94</v>
      </c>
      <c r="AL1450" s="17" t="s">
        <v>94</v>
      </c>
      <c r="AM1450" s="17" t="s">
        <v>94</v>
      </c>
      <c r="AN1450" s="17" t="s">
        <v>94</v>
      </c>
      <c r="AO1450" s="17" t="s">
        <v>94</v>
      </c>
      <c r="AP1450" s="17" t="s">
        <v>94</v>
      </c>
      <c r="AQ1450" s="17" t="s">
        <v>94</v>
      </c>
      <c r="AR1450" s="23" t="s">
        <v>16630</v>
      </c>
      <c r="AS1450" s="17"/>
      <c r="AT1450" s="17">
        <v>287</v>
      </c>
      <c r="AU1450" s="32" t="s">
        <v>16631</v>
      </c>
      <c r="AV1450" s="14" t="s">
        <v>94</v>
      </c>
      <c r="AW1450" s="75">
        <v>326611</v>
      </c>
      <c r="AX1450" s="1"/>
      <c r="AY1450" s="17" t="s">
        <v>101</v>
      </c>
    </row>
    <row r="1451" spans="1:51" ht="12.75" customHeight="1" x14ac:dyDescent="0.25">
      <c r="A1451" s="5">
        <v>1363</v>
      </c>
      <c r="B1451" s="9">
        <v>1363</v>
      </c>
      <c r="C1451" s="9" t="s">
        <v>16632</v>
      </c>
      <c r="D1451" s="57" t="str">
        <f>HYPERLINK("http://prodenv.dep.state.fl.us/DepNexus/public/electronic-documents/OG_1363/facility!search","OG_1363_Docs")</f>
        <v>OG_1363_Docs</v>
      </c>
      <c r="E1451" s="57" t="str">
        <f>HYPERLINK("https://ca.dep.state.fl.us/mapdirect/?focus=oilandgas&amp;zoom=query&amp;querytype=oilandgas&amp;queryvalues=OG_1363","OG_1363_Map")</f>
        <v>OG_1363_Map</v>
      </c>
      <c r="F1451" s="1" t="s">
        <v>1797</v>
      </c>
      <c r="G1451" s="1" t="s">
        <v>5133</v>
      </c>
      <c r="H1451" s="1" t="s">
        <v>1363</v>
      </c>
      <c r="I1451" s="1" t="s">
        <v>16633</v>
      </c>
      <c r="J1451" s="17" t="s">
        <v>5135</v>
      </c>
      <c r="K1451" s="17" t="s">
        <v>4266</v>
      </c>
      <c r="L1451" s="17"/>
      <c r="M1451" s="17"/>
      <c r="N1451" s="52" t="s">
        <v>4902</v>
      </c>
      <c r="O1451" s="17" t="s">
        <v>86</v>
      </c>
      <c r="P1451" s="17" t="s">
        <v>86</v>
      </c>
      <c r="Q1451" s="81" t="s">
        <v>16634</v>
      </c>
      <c r="R1451" s="11">
        <v>30.980291000000001</v>
      </c>
      <c r="S1451" s="11">
        <v>-87.178387999999998</v>
      </c>
      <c r="T1451" s="11" t="s">
        <v>16635</v>
      </c>
      <c r="U1451" s="11" t="s">
        <v>16636</v>
      </c>
      <c r="V1451" s="17" t="s">
        <v>16637</v>
      </c>
      <c r="W1451" s="17"/>
      <c r="X1451" s="70">
        <v>25</v>
      </c>
      <c r="Y1451" s="70">
        <v>78</v>
      </c>
      <c r="Z1451" s="13">
        <v>41953</v>
      </c>
      <c r="AA1451" s="13">
        <v>42130</v>
      </c>
      <c r="AB1451" s="13">
        <v>42884</v>
      </c>
      <c r="AC1451" s="13"/>
      <c r="AD1451" s="86">
        <v>15685</v>
      </c>
      <c r="AE1451" s="70">
        <v>15689</v>
      </c>
      <c r="AF1451" s="70" t="s">
        <v>16638</v>
      </c>
      <c r="AG1451" s="17" t="s">
        <v>16639</v>
      </c>
      <c r="AH1451" s="17" t="s">
        <v>94</v>
      </c>
      <c r="AI1451" s="70" t="s">
        <v>16640</v>
      </c>
      <c r="AJ1451" s="17" t="s">
        <v>16641</v>
      </c>
      <c r="AK1451" s="17" t="s">
        <v>94</v>
      </c>
      <c r="AL1451" s="17" t="s">
        <v>94</v>
      </c>
      <c r="AM1451" s="17" t="s">
        <v>94</v>
      </c>
      <c r="AN1451" s="17" t="s">
        <v>94</v>
      </c>
      <c r="AO1451" s="17" t="s">
        <v>8336</v>
      </c>
      <c r="AP1451" s="17" t="s">
        <v>16642</v>
      </c>
      <c r="AQ1451" s="17" t="s">
        <v>16643</v>
      </c>
      <c r="AR1451" s="17" t="s">
        <v>16644</v>
      </c>
      <c r="AS1451" s="17"/>
      <c r="AT1451" s="17">
        <v>270</v>
      </c>
      <c r="AU1451" s="32" t="s">
        <v>16645</v>
      </c>
      <c r="AV1451" s="14" t="s">
        <v>94</v>
      </c>
      <c r="AW1451" s="75">
        <v>326613</v>
      </c>
      <c r="AX1451" s="1" t="s">
        <v>16646</v>
      </c>
      <c r="AY1451" s="17" t="s">
        <v>101</v>
      </c>
    </row>
    <row r="1452" spans="1:51" ht="12.75" customHeight="1" x14ac:dyDescent="0.25">
      <c r="A1452" s="5">
        <v>1364</v>
      </c>
      <c r="B1452" s="9">
        <v>1364</v>
      </c>
      <c r="C1452" s="9" t="s">
        <v>16647</v>
      </c>
      <c r="D1452" s="57" t="str">
        <f>HYPERLINK("http://prodenv.dep.state.fl.us/DepNexus/public/electronic-documents/OG_1364/facility!search","OG_1364_Docs")</f>
        <v>OG_1364_Docs</v>
      </c>
      <c r="E1452" s="57" t="str">
        <f>HYPERLINK("https://ca.dep.state.fl.us/mapdirect/?focus=oilandgas&amp;zoom=query&amp;querytype=oilandgas&amp;queryvalues=OG_1364","OG_1364_Map")</f>
        <v>OG_1364_Map</v>
      </c>
      <c r="F1452" s="1" t="s">
        <v>1797</v>
      </c>
      <c r="G1452" s="1" t="s">
        <v>5133</v>
      </c>
      <c r="H1452" s="1" t="s">
        <v>1363</v>
      </c>
      <c r="I1452" s="1" t="s">
        <v>16648</v>
      </c>
      <c r="J1452" s="17" t="s">
        <v>3646</v>
      </c>
      <c r="K1452" s="17" t="s">
        <v>412</v>
      </c>
      <c r="L1452" s="17"/>
      <c r="M1452" s="17"/>
      <c r="N1452" s="25" t="s">
        <v>16649</v>
      </c>
      <c r="O1452" s="17" t="s">
        <v>86</v>
      </c>
      <c r="P1452" s="17" t="s">
        <v>86</v>
      </c>
      <c r="Q1452" s="81" t="s">
        <v>6530</v>
      </c>
      <c r="R1452" s="11">
        <v>30.941492</v>
      </c>
      <c r="S1452" s="11">
        <v>-87.172038999999998</v>
      </c>
      <c r="T1452" s="11" t="s">
        <v>16650</v>
      </c>
      <c r="U1452" s="11" t="s">
        <v>16651</v>
      </c>
      <c r="V1452" s="17" t="s">
        <v>16652</v>
      </c>
      <c r="W1452" s="17" t="s">
        <v>110</v>
      </c>
      <c r="X1452" s="70">
        <v>286.39999999999998</v>
      </c>
      <c r="Y1452" s="70">
        <v>261.39999999999998</v>
      </c>
      <c r="Z1452" s="13">
        <v>41947</v>
      </c>
      <c r="AA1452" s="13">
        <v>42019</v>
      </c>
      <c r="AB1452" s="13">
        <v>42144</v>
      </c>
      <c r="AC1452" s="13"/>
      <c r="AD1452" s="86">
        <v>15933</v>
      </c>
      <c r="AE1452" s="86">
        <v>15933</v>
      </c>
      <c r="AF1452" s="71" t="s">
        <v>16653</v>
      </c>
      <c r="AG1452" s="23" t="s">
        <v>16654</v>
      </c>
      <c r="AH1452" s="23" t="s">
        <v>94</v>
      </c>
      <c r="AI1452" s="71" t="s">
        <v>16655</v>
      </c>
      <c r="AJ1452" s="23" t="s">
        <v>16656</v>
      </c>
      <c r="AK1452" s="17" t="s">
        <v>94</v>
      </c>
      <c r="AL1452" s="17" t="s">
        <v>94</v>
      </c>
      <c r="AM1452" s="17" t="s">
        <v>94</v>
      </c>
      <c r="AN1452" s="23" t="s">
        <v>94</v>
      </c>
      <c r="AO1452" s="23" t="s">
        <v>16657</v>
      </c>
      <c r="AP1452" s="23" t="s">
        <v>16658</v>
      </c>
      <c r="AQ1452" s="23" t="s">
        <v>16659</v>
      </c>
      <c r="AR1452" s="23" t="s">
        <v>16660</v>
      </c>
      <c r="AS1452" s="17"/>
      <c r="AT1452" s="17">
        <v>290</v>
      </c>
      <c r="AU1452" s="32" t="s">
        <v>16661</v>
      </c>
      <c r="AV1452" s="14"/>
      <c r="AW1452" s="75">
        <v>327258</v>
      </c>
      <c r="AX1452" s="1"/>
      <c r="AY1452" s="17" t="s">
        <v>101</v>
      </c>
    </row>
    <row r="1453" spans="1:51" ht="12.75" customHeight="1" x14ac:dyDescent="0.25">
      <c r="A1453" s="5">
        <v>1365</v>
      </c>
      <c r="B1453" s="9">
        <v>1365</v>
      </c>
      <c r="C1453" s="9" t="s">
        <v>16662</v>
      </c>
      <c r="D1453" s="57" t="str">
        <f>HYPERLINK("http://prodenv.dep.state.fl.us/DepNexus/public/electronic-documents/OG_1365/facility!search","OG_1365_Docs")</f>
        <v>OG_1365_Docs</v>
      </c>
      <c r="E1453" s="57" t="str">
        <f>HYPERLINK("https://ca.dep.state.fl.us/mapdirect/?focus=oilandgas&amp;zoom=query&amp;querytype=oilandgas&amp;queryvalues=OG_1365","OG_1365_Map")</f>
        <v>OG_1365_Map</v>
      </c>
      <c r="F1453" s="1" t="s">
        <v>1797</v>
      </c>
      <c r="G1453" s="1" t="s">
        <v>5133</v>
      </c>
      <c r="H1453" s="1" t="s">
        <v>1363</v>
      </c>
      <c r="I1453" s="1" t="s">
        <v>16663</v>
      </c>
      <c r="J1453" s="17" t="s">
        <v>207</v>
      </c>
      <c r="K1453" s="17" t="s">
        <v>15808</v>
      </c>
      <c r="L1453" s="17"/>
      <c r="M1453" s="17" t="s">
        <v>207</v>
      </c>
      <c r="N1453" s="17" t="s">
        <v>207</v>
      </c>
      <c r="O1453" s="17" t="s">
        <v>86</v>
      </c>
      <c r="P1453" s="17" t="s">
        <v>86</v>
      </c>
      <c r="Q1453" s="81" t="s">
        <v>16622</v>
      </c>
      <c r="R1453" s="11">
        <v>30.962599999999998</v>
      </c>
      <c r="S1453" s="11">
        <v>-87.171999999999997</v>
      </c>
      <c r="T1453" s="11" t="s">
        <v>16664</v>
      </c>
      <c r="U1453" s="11" t="s">
        <v>16665</v>
      </c>
      <c r="V1453" s="14" t="s">
        <v>16666</v>
      </c>
      <c r="W1453" s="14" t="s">
        <v>110</v>
      </c>
      <c r="X1453" s="70"/>
      <c r="Y1453" s="70"/>
      <c r="Z1453" s="13">
        <v>42185</v>
      </c>
      <c r="AA1453" s="13"/>
      <c r="AB1453" s="13"/>
      <c r="AC1453" s="13"/>
      <c r="AD1453" s="70"/>
      <c r="AE1453" s="70"/>
      <c r="AF1453" s="70" t="s">
        <v>207</v>
      </c>
      <c r="AG1453" s="14" t="s">
        <v>207</v>
      </c>
      <c r="AH1453" s="14" t="s">
        <v>207</v>
      </c>
      <c r="AI1453" s="70" t="s">
        <v>207</v>
      </c>
      <c r="AJ1453" s="14" t="s">
        <v>207</v>
      </c>
      <c r="AK1453" s="14" t="s">
        <v>207</v>
      </c>
      <c r="AL1453" s="14" t="s">
        <v>207</v>
      </c>
      <c r="AM1453" s="14" t="s">
        <v>207</v>
      </c>
      <c r="AN1453" s="14" t="s">
        <v>207</v>
      </c>
      <c r="AO1453" s="14" t="s">
        <v>207</v>
      </c>
      <c r="AP1453" s="14" t="s">
        <v>207</v>
      </c>
      <c r="AQ1453" s="14" t="s">
        <v>207</v>
      </c>
      <c r="AR1453" s="14" t="s">
        <v>207</v>
      </c>
      <c r="AS1453" s="14" t="s">
        <v>207</v>
      </c>
      <c r="AT1453" s="14" t="s">
        <v>207</v>
      </c>
      <c r="AU1453" s="32" t="s">
        <v>16667</v>
      </c>
      <c r="AV1453" s="13" t="s">
        <v>207</v>
      </c>
      <c r="AW1453" s="74">
        <v>330947</v>
      </c>
      <c r="AX1453" s="17"/>
      <c r="AY1453" s="17" t="s">
        <v>101</v>
      </c>
    </row>
    <row r="1454" spans="1:51" ht="12.75" customHeight="1" x14ac:dyDescent="0.25">
      <c r="A1454" s="5">
        <v>1366</v>
      </c>
      <c r="B1454" s="9">
        <v>1366</v>
      </c>
      <c r="C1454" s="9" t="s">
        <v>16668</v>
      </c>
      <c r="D1454" s="57" t="str">
        <f>HYPERLINK("http://prodenv.dep.state.fl.us/DepNexus/public/electronic-documents/OG_1366/facility!search","OG_1366_Docs")</f>
        <v>OG_1366_Docs</v>
      </c>
      <c r="E1454" s="57" t="str">
        <f>HYPERLINK("https://ca.dep.state.fl.us/mapdirect/?focus=oilandgas&amp;zoom=query&amp;querytype=oilandgas&amp;queryvalues=OG_1366","OG_1366_Map")</f>
        <v>OG_1366_Map</v>
      </c>
      <c r="F1454" s="1" t="s">
        <v>14465</v>
      </c>
      <c r="G1454" s="1" t="s">
        <v>79</v>
      </c>
      <c r="H1454" s="1" t="s">
        <v>16669</v>
      </c>
      <c r="I1454" s="1" t="s">
        <v>16670</v>
      </c>
      <c r="J1454" s="17" t="s">
        <v>16671</v>
      </c>
      <c r="K1454" s="17" t="s">
        <v>207</v>
      </c>
      <c r="L1454" s="17"/>
      <c r="M1454" s="17" t="s">
        <v>207</v>
      </c>
      <c r="N1454" s="17" t="s">
        <v>207</v>
      </c>
      <c r="O1454" s="17" t="s">
        <v>207</v>
      </c>
      <c r="P1454" s="17" t="s">
        <v>207</v>
      </c>
      <c r="Q1454" s="81" t="s">
        <v>16672</v>
      </c>
      <c r="R1454" s="11">
        <v>25.998611</v>
      </c>
      <c r="S1454" s="11">
        <v>-80.518611000000007</v>
      </c>
      <c r="T1454" s="11" t="s">
        <v>16673</v>
      </c>
      <c r="U1454" s="11" t="s">
        <v>16674</v>
      </c>
      <c r="V1454" s="14" t="s">
        <v>16675</v>
      </c>
      <c r="W1454" s="14" t="s">
        <v>110</v>
      </c>
      <c r="X1454" s="70">
        <v>33.659999999999997</v>
      </c>
      <c r="Y1454" s="70">
        <v>8</v>
      </c>
      <c r="Z1454" s="13"/>
      <c r="AA1454" s="13"/>
      <c r="AB1454" s="13"/>
      <c r="AC1454" s="13"/>
      <c r="AD1454" s="70"/>
      <c r="AE1454" s="70"/>
      <c r="AF1454" s="70" t="s">
        <v>207</v>
      </c>
      <c r="AG1454" s="13" t="s">
        <v>207</v>
      </c>
      <c r="AH1454" s="13" t="s">
        <v>207</v>
      </c>
      <c r="AI1454" s="70" t="s">
        <v>207</v>
      </c>
      <c r="AJ1454" s="13" t="s">
        <v>207</v>
      </c>
      <c r="AK1454" s="13" t="s">
        <v>207</v>
      </c>
      <c r="AL1454" s="13" t="s">
        <v>207</v>
      </c>
      <c r="AM1454" s="13" t="s">
        <v>207</v>
      </c>
      <c r="AN1454" s="13" t="s">
        <v>207</v>
      </c>
      <c r="AO1454" s="13" t="s">
        <v>207</v>
      </c>
      <c r="AP1454" s="13" t="s">
        <v>207</v>
      </c>
      <c r="AQ1454" s="13" t="s">
        <v>207</v>
      </c>
      <c r="AR1454" s="13" t="s">
        <v>207</v>
      </c>
      <c r="AS1454" s="13" t="s">
        <v>207</v>
      </c>
      <c r="AT1454" s="13" t="s">
        <v>207</v>
      </c>
      <c r="AU1454" s="83" t="s">
        <v>207</v>
      </c>
      <c r="AV1454" s="13" t="s">
        <v>207</v>
      </c>
      <c r="AW1454" s="74">
        <v>336299</v>
      </c>
      <c r="AX1454" s="17" t="s">
        <v>16676</v>
      </c>
      <c r="AY1454" s="17" t="s">
        <v>101</v>
      </c>
    </row>
    <row r="1455" spans="1:51" ht="12.75" customHeight="1" x14ac:dyDescent="0.25">
      <c r="A1455" s="5">
        <v>1367</v>
      </c>
      <c r="B1455" s="9">
        <v>1367</v>
      </c>
      <c r="C1455" s="9" t="s">
        <v>16677</v>
      </c>
      <c r="D1455" s="57" t="str">
        <f>HYPERLINK("http://prodenv.dep.state.fl.us/DepNexus/public/electronic-documents/OG_1367/facility!search","OG_1367_Docs")</f>
        <v>OG_1367_Docs</v>
      </c>
      <c r="E1455" s="57" t="str">
        <f>HYPERLINK("https://ca.dep.state.fl.us/mapdirect/?focus=oilandgas&amp;zoom=query&amp;querytype=oilandgas&amp;queryvalues=OG_1367","OG_1367_Map")</f>
        <v>OG_1367_Map</v>
      </c>
      <c r="F1455" s="24" t="s">
        <v>1682</v>
      </c>
      <c r="G1455" s="24" t="s">
        <v>5133</v>
      </c>
      <c r="H1455" s="24" t="s">
        <v>1363</v>
      </c>
      <c r="I1455" s="1" t="s">
        <v>16678</v>
      </c>
      <c r="J1455" s="17" t="s">
        <v>207</v>
      </c>
      <c r="K1455" s="17" t="s">
        <v>15808</v>
      </c>
      <c r="L1455" s="17"/>
      <c r="M1455" s="17" t="s">
        <v>207</v>
      </c>
      <c r="N1455" s="17" t="s">
        <v>207</v>
      </c>
      <c r="O1455" s="17" t="s">
        <v>86</v>
      </c>
      <c r="P1455" s="17" t="s">
        <v>86</v>
      </c>
      <c r="Q1455" s="81" t="s">
        <v>16100</v>
      </c>
      <c r="R1455" s="11">
        <v>30.992771999999999</v>
      </c>
      <c r="S1455" s="11">
        <v>-87.192447999999999</v>
      </c>
      <c r="T1455" s="11" t="s">
        <v>16679</v>
      </c>
      <c r="U1455" s="11" t="s">
        <v>16680</v>
      </c>
      <c r="V1455" s="14" t="s">
        <v>16681</v>
      </c>
      <c r="W1455" s="14" t="s">
        <v>16682</v>
      </c>
      <c r="X1455" s="70"/>
      <c r="Y1455" s="70"/>
      <c r="Z1455" s="13">
        <v>42534</v>
      </c>
      <c r="AA1455" s="13"/>
      <c r="AB1455" s="13"/>
      <c r="AC1455" s="13"/>
      <c r="AD1455" s="70"/>
      <c r="AE1455" s="70"/>
      <c r="AF1455" s="70" t="s">
        <v>207</v>
      </c>
      <c r="AG1455" s="14" t="s">
        <v>207</v>
      </c>
      <c r="AH1455" s="14" t="s">
        <v>207</v>
      </c>
      <c r="AI1455" s="70" t="s">
        <v>207</v>
      </c>
      <c r="AJ1455" s="14" t="s">
        <v>207</v>
      </c>
      <c r="AK1455" s="14" t="s">
        <v>207</v>
      </c>
      <c r="AL1455" s="14" t="s">
        <v>207</v>
      </c>
      <c r="AM1455" s="14" t="s">
        <v>207</v>
      </c>
      <c r="AN1455" s="14" t="s">
        <v>207</v>
      </c>
      <c r="AO1455" s="14" t="s">
        <v>207</v>
      </c>
      <c r="AP1455" s="14" t="s">
        <v>207</v>
      </c>
      <c r="AQ1455" s="14" t="s">
        <v>207</v>
      </c>
      <c r="AR1455" s="14" t="s">
        <v>207</v>
      </c>
      <c r="AS1455" s="14" t="s">
        <v>207</v>
      </c>
      <c r="AT1455" s="14" t="s">
        <v>207</v>
      </c>
      <c r="AU1455" s="83" t="s">
        <v>207</v>
      </c>
      <c r="AV1455" s="14" t="s">
        <v>207</v>
      </c>
      <c r="AW1455" s="74">
        <v>336768</v>
      </c>
      <c r="AX1455" s="17"/>
      <c r="AY1455" s="17" t="s">
        <v>101</v>
      </c>
    </row>
    <row r="1456" spans="1:51" ht="15" customHeight="1" x14ac:dyDescent="0.25">
      <c r="A1456" s="5">
        <v>1368</v>
      </c>
      <c r="B1456" s="9">
        <v>1368</v>
      </c>
      <c r="C1456" s="9" t="s">
        <v>16683</v>
      </c>
      <c r="D1456" s="57" t="str">
        <f>HYPERLINK("http://prodenv.dep.state.fl.us/DepNexus/public/electronic-documents/OG_1368/facility!search","OG_1368_Docs")</f>
        <v>OG_1368_Docs</v>
      </c>
      <c r="E1456" s="57" t="str">
        <f>HYPERLINK("https://ca.dep.state.fl.us/mapdirect/?focus=oilandgas&amp;zoom=query&amp;querytype=oilandgas&amp;queryvalues=OG_1368","OG_1368_Map")</f>
        <v>OG_1368_Map</v>
      </c>
      <c r="F1456" s="24" t="s">
        <v>1797</v>
      </c>
      <c r="G1456" s="24" t="s">
        <v>5133</v>
      </c>
      <c r="H1456" s="24" t="s">
        <v>1363</v>
      </c>
      <c r="I1456" s="1" t="s">
        <v>16684</v>
      </c>
      <c r="J1456" s="17" t="s">
        <v>207</v>
      </c>
      <c r="K1456" s="17" t="s">
        <v>15808</v>
      </c>
      <c r="L1456" s="17"/>
      <c r="M1456" s="17" t="s">
        <v>207</v>
      </c>
      <c r="N1456" s="17" t="s">
        <v>207</v>
      </c>
      <c r="O1456" s="17" t="s">
        <v>86</v>
      </c>
      <c r="P1456" s="17" t="s">
        <v>86</v>
      </c>
      <c r="Q1456" s="81" t="s">
        <v>16634</v>
      </c>
      <c r="R1456" s="11">
        <v>30.980439000000001</v>
      </c>
      <c r="S1456" s="11">
        <v>-87.170012</v>
      </c>
      <c r="T1456" s="11" t="s">
        <v>16685</v>
      </c>
      <c r="U1456" s="11" t="s">
        <v>16686</v>
      </c>
      <c r="V1456" s="14" t="s">
        <v>16687</v>
      </c>
      <c r="W1456" s="14" t="s">
        <v>16688</v>
      </c>
      <c r="X1456" s="70"/>
      <c r="Y1456" s="70"/>
      <c r="Z1456" s="13">
        <v>42534</v>
      </c>
      <c r="AA1456" s="13"/>
      <c r="AB1456" s="13"/>
      <c r="AC1456" s="13"/>
      <c r="AD1456" s="70"/>
      <c r="AE1456" s="70"/>
      <c r="AF1456" s="70" t="s">
        <v>207</v>
      </c>
      <c r="AG1456" s="14" t="s">
        <v>207</v>
      </c>
      <c r="AH1456" s="14" t="s">
        <v>207</v>
      </c>
      <c r="AI1456" s="70" t="s">
        <v>207</v>
      </c>
      <c r="AJ1456" s="14" t="s">
        <v>207</v>
      </c>
      <c r="AK1456" s="14" t="s">
        <v>207</v>
      </c>
      <c r="AL1456" s="14" t="s">
        <v>207</v>
      </c>
      <c r="AM1456" s="14" t="s">
        <v>207</v>
      </c>
      <c r="AN1456" s="14" t="s">
        <v>207</v>
      </c>
      <c r="AO1456" s="14" t="s">
        <v>207</v>
      </c>
      <c r="AP1456" s="14" t="s">
        <v>207</v>
      </c>
      <c r="AQ1456" s="14" t="s">
        <v>207</v>
      </c>
      <c r="AR1456" s="14" t="s">
        <v>207</v>
      </c>
      <c r="AS1456" s="14" t="s">
        <v>207</v>
      </c>
      <c r="AT1456" s="14" t="s">
        <v>207</v>
      </c>
      <c r="AU1456" s="83" t="s">
        <v>207</v>
      </c>
      <c r="AV1456" s="14" t="s">
        <v>207</v>
      </c>
      <c r="AW1456" s="74">
        <v>336763</v>
      </c>
      <c r="AX1456" s="17"/>
      <c r="AY1456" s="17" t="s">
        <v>101</v>
      </c>
    </row>
    <row r="1457" spans="1:51" ht="12.75" customHeight="1" x14ac:dyDescent="0.25">
      <c r="A1457" s="5">
        <v>1369</v>
      </c>
      <c r="B1457" s="9">
        <v>1369</v>
      </c>
      <c r="C1457" s="9" t="s">
        <v>16689</v>
      </c>
      <c r="D1457" s="57" t="str">
        <f>HYPERLINK("http://prodenv.dep.state.fl.us/DepNexus/public/electronic-documents/OG_1369/facility!search","OG_1369_Docs")</f>
        <v>OG_1369_Docs</v>
      </c>
      <c r="E1457" s="57" t="str">
        <f>HYPERLINK("https://ca.dep.state.fl.us/mapdirect/?focus=oilandgas&amp;zoom=query&amp;querytype=oilandgas&amp;queryvalues=OG_1369","OG_1369_Map")</f>
        <v>OG_1369_Map</v>
      </c>
      <c r="F1457" s="24" t="s">
        <v>1797</v>
      </c>
      <c r="G1457" s="24" t="s">
        <v>5133</v>
      </c>
      <c r="H1457" s="24" t="s">
        <v>1363</v>
      </c>
      <c r="I1457" s="1" t="s">
        <v>16690</v>
      </c>
      <c r="J1457" s="17" t="s">
        <v>207</v>
      </c>
      <c r="K1457" s="17" t="s">
        <v>15808</v>
      </c>
      <c r="L1457" s="17"/>
      <c r="M1457" s="17" t="s">
        <v>207</v>
      </c>
      <c r="N1457" s="17" t="s">
        <v>207</v>
      </c>
      <c r="O1457" s="17" t="s">
        <v>86</v>
      </c>
      <c r="P1457" s="17" t="s">
        <v>86</v>
      </c>
      <c r="Q1457" s="81" t="s">
        <v>16691</v>
      </c>
      <c r="R1457" s="11">
        <v>30.964179999999999</v>
      </c>
      <c r="S1457" s="11">
        <v>-87.196534</v>
      </c>
      <c r="T1457" s="11" t="s">
        <v>16692</v>
      </c>
      <c r="U1457" s="11" t="s">
        <v>16693</v>
      </c>
      <c r="V1457" s="14" t="s">
        <v>16694</v>
      </c>
      <c r="W1457" s="14" t="s">
        <v>16695</v>
      </c>
      <c r="X1457" s="70"/>
      <c r="Y1457" s="70"/>
      <c r="Z1457" s="13">
        <v>42534</v>
      </c>
      <c r="AA1457" s="13"/>
      <c r="AB1457" s="13"/>
      <c r="AC1457" s="13"/>
      <c r="AD1457" s="70"/>
      <c r="AE1457" s="70"/>
      <c r="AF1457" s="70" t="s">
        <v>207</v>
      </c>
      <c r="AG1457" s="14" t="s">
        <v>207</v>
      </c>
      <c r="AH1457" s="14" t="s">
        <v>207</v>
      </c>
      <c r="AI1457" s="70" t="s">
        <v>207</v>
      </c>
      <c r="AJ1457" s="14" t="s">
        <v>207</v>
      </c>
      <c r="AK1457" s="14" t="s">
        <v>207</v>
      </c>
      <c r="AL1457" s="14" t="s">
        <v>207</v>
      </c>
      <c r="AM1457" s="14" t="s">
        <v>207</v>
      </c>
      <c r="AN1457" s="14" t="s">
        <v>207</v>
      </c>
      <c r="AO1457" s="14" t="s">
        <v>207</v>
      </c>
      <c r="AP1457" s="14" t="s">
        <v>207</v>
      </c>
      <c r="AQ1457" s="14" t="s">
        <v>207</v>
      </c>
      <c r="AR1457" s="14" t="s">
        <v>207</v>
      </c>
      <c r="AS1457" s="14" t="s">
        <v>207</v>
      </c>
      <c r="AT1457" s="14" t="s">
        <v>207</v>
      </c>
      <c r="AU1457" s="83" t="s">
        <v>207</v>
      </c>
      <c r="AV1457" s="14" t="s">
        <v>207</v>
      </c>
      <c r="AW1457" s="74">
        <v>336767</v>
      </c>
      <c r="AX1457" s="17"/>
      <c r="AY1457" s="17" t="s">
        <v>101</v>
      </c>
    </row>
    <row r="1458" spans="1:51" ht="15" customHeight="1" x14ac:dyDescent="0.25">
      <c r="A1458" s="5">
        <v>1370</v>
      </c>
      <c r="B1458" s="9">
        <v>1370</v>
      </c>
      <c r="C1458" s="9" t="s">
        <v>16696</v>
      </c>
      <c r="D1458" s="57" t="str">
        <f>HYPERLINK("http://prodenv.dep.state.fl.us/DepNexus/public/electronic-documents/OG_1370/facility!search","OG_1370_Docs")</f>
        <v>OG_1370_Docs</v>
      </c>
      <c r="E1458" s="57" t="str">
        <f>HYPERLINK("https://ca.dep.state.fl.us/mapdirect/?focus=oilandgas&amp;zoom=query&amp;querytype=oilandgas&amp;queryvalues=OG_1370","OG_1370_Map")</f>
        <v>OG_1370_Map</v>
      </c>
      <c r="F1458" s="1" t="s">
        <v>103</v>
      </c>
      <c r="G1458" s="1" t="s">
        <v>79</v>
      </c>
      <c r="H1458" s="1" t="s">
        <v>14561</v>
      </c>
      <c r="I1458" s="1" t="s">
        <v>16697</v>
      </c>
      <c r="J1458" s="17" t="s">
        <v>82</v>
      </c>
      <c r="K1458" s="17" t="s">
        <v>83</v>
      </c>
      <c r="L1458" s="17"/>
      <c r="M1458" s="17"/>
      <c r="N1458" s="52" t="s">
        <v>16698</v>
      </c>
      <c r="O1458" s="23" t="s">
        <v>86</v>
      </c>
      <c r="P1458" s="17" t="s">
        <v>86</v>
      </c>
      <c r="Q1458" s="81" t="s">
        <v>16699</v>
      </c>
      <c r="R1458" s="11">
        <v>30.234634</v>
      </c>
      <c r="S1458" s="11">
        <v>-85.282516000000001</v>
      </c>
      <c r="T1458" s="11" t="s">
        <v>16700</v>
      </c>
      <c r="U1458" s="11" t="s">
        <v>16701</v>
      </c>
      <c r="V1458" s="17" t="s">
        <v>16702</v>
      </c>
      <c r="W1458" s="17" t="s">
        <v>16703</v>
      </c>
      <c r="X1458" s="70">
        <v>97.1</v>
      </c>
      <c r="Y1458" s="70">
        <v>74.400000000000006</v>
      </c>
      <c r="Z1458" s="13">
        <v>43098</v>
      </c>
      <c r="AA1458" s="13">
        <v>43219</v>
      </c>
      <c r="AB1458" s="13">
        <v>43238</v>
      </c>
      <c r="AC1458" s="13">
        <v>43240</v>
      </c>
      <c r="AD1458" s="86">
        <v>12228</v>
      </c>
      <c r="AE1458" s="70">
        <v>12228</v>
      </c>
      <c r="AF1458" s="70" t="s">
        <v>16704</v>
      </c>
      <c r="AG1458" s="17" t="s">
        <v>16705</v>
      </c>
      <c r="AH1458" s="17" t="s">
        <v>94</v>
      </c>
      <c r="AI1458" s="70" t="s">
        <v>94</v>
      </c>
      <c r="AJ1458" s="17" t="s">
        <v>94</v>
      </c>
      <c r="AK1458" s="17" t="s">
        <v>98</v>
      </c>
      <c r="AL1458" s="17" t="s">
        <v>98</v>
      </c>
      <c r="AM1458" s="17" t="s">
        <v>98</v>
      </c>
      <c r="AN1458" s="17" t="s">
        <v>98</v>
      </c>
      <c r="AO1458" s="17" t="s">
        <v>98</v>
      </c>
      <c r="AP1458" s="17" t="s">
        <v>98</v>
      </c>
      <c r="AQ1458" s="17" t="s">
        <v>98</v>
      </c>
      <c r="AR1458" s="17" t="s">
        <v>98</v>
      </c>
      <c r="AS1458" s="17" t="s">
        <v>16706</v>
      </c>
      <c r="AT1458" s="17">
        <v>220</v>
      </c>
      <c r="AU1458" s="33" t="s">
        <v>16707</v>
      </c>
      <c r="AV1458" s="14" t="s">
        <v>94</v>
      </c>
      <c r="AW1458" s="74">
        <v>353414</v>
      </c>
      <c r="AX1458" s="1"/>
      <c r="AY1458" s="17" t="s">
        <v>101</v>
      </c>
    </row>
    <row r="1459" spans="1:51" ht="12.75" customHeight="1" x14ac:dyDescent="0.25">
      <c r="A1459" s="5">
        <v>1371</v>
      </c>
      <c r="B1459" s="9">
        <v>1371</v>
      </c>
      <c r="C1459" s="9" t="s">
        <v>16708</v>
      </c>
      <c r="D1459" s="57" t="str">
        <f>HYPERLINK("http://prodenv.dep.state.fl.us/DepNexus/public/electronic-documents/OG_1371/facility!search","OG_1371_Docs")</f>
        <v>OG_1371_Docs</v>
      </c>
      <c r="E1459" s="57" t="str">
        <f>HYPERLINK("https://ca.dep.state.fl.us/mapdirect/?focus=oilandgas&amp;zoom=query&amp;querytype=oilandgas&amp;queryvalues=OG_1371","OG_1371_Map")</f>
        <v>OG_1371_Map</v>
      </c>
      <c r="F1459" s="24" t="s">
        <v>1797</v>
      </c>
      <c r="G1459" s="1" t="s">
        <v>5133</v>
      </c>
      <c r="H1459" s="24" t="s">
        <v>1363</v>
      </c>
      <c r="I1459" s="1" t="s">
        <v>16709</v>
      </c>
      <c r="J1459" s="17" t="s">
        <v>207</v>
      </c>
      <c r="K1459" s="17" t="s">
        <v>207</v>
      </c>
      <c r="L1459" s="17"/>
      <c r="M1459" s="17" t="s">
        <v>207</v>
      </c>
      <c r="N1459" s="17" t="s">
        <v>207</v>
      </c>
      <c r="O1459" s="23" t="s">
        <v>86</v>
      </c>
      <c r="P1459" s="17" t="s">
        <v>86</v>
      </c>
      <c r="Q1459" s="81" t="s">
        <v>16710</v>
      </c>
      <c r="R1459" s="11">
        <v>30.944797000000001</v>
      </c>
      <c r="S1459" s="11">
        <v>-87.152608000000001</v>
      </c>
      <c r="T1459" s="11" t="s">
        <v>16711</v>
      </c>
      <c r="U1459" s="11" t="s">
        <v>16712</v>
      </c>
      <c r="V1459" s="17" t="s">
        <v>16713</v>
      </c>
      <c r="W1459" s="17" t="s">
        <v>16714</v>
      </c>
      <c r="X1459" s="70">
        <v>278.97000000000003</v>
      </c>
      <c r="Y1459" s="70">
        <v>253</v>
      </c>
      <c r="Z1459" s="13">
        <v>43712</v>
      </c>
      <c r="AA1459" s="13"/>
      <c r="AB1459" s="13"/>
      <c r="AC1459" s="13"/>
      <c r="AD1459" s="70"/>
      <c r="AE1459" s="70"/>
      <c r="AF1459" s="70" t="s">
        <v>207</v>
      </c>
      <c r="AG1459" s="17" t="s">
        <v>207</v>
      </c>
      <c r="AH1459" s="17" t="s">
        <v>207</v>
      </c>
      <c r="AI1459" s="70" t="s">
        <v>207</v>
      </c>
      <c r="AJ1459" s="17" t="s">
        <v>207</v>
      </c>
      <c r="AK1459" s="17" t="s">
        <v>207</v>
      </c>
      <c r="AL1459" s="17" t="s">
        <v>207</v>
      </c>
      <c r="AM1459" s="17" t="s">
        <v>207</v>
      </c>
      <c r="AN1459" s="17" t="s">
        <v>207</v>
      </c>
      <c r="AO1459" s="17" t="s">
        <v>207</v>
      </c>
      <c r="AP1459" s="17" t="s">
        <v>207</v>
      </c>
      <c r="AQ1459" s="17" t="s">
        <v>207</v>
      </c>
      <c r="AR1459" s="17" t="s">
        <v>207</v>
      </c>
      <c r="AS1459" s="17" t="s">
        <v>207</v>
      </c>
      <c r="AT1459" s="17" t="s">
        <v>207</v>
      </c>
      <c r="AU1459" s="83" t="s">
        <v>207</v>
      </c>
      <c r="AV1459" s="13" t="s">
        <v>207</v>
      </c>
      <c r="AW1459" s="74">
        <v>375636</v>
      </c>
      <c r="AX1459" s="17" t="s">
        <v>16715</v>
      </c>
      <c r="AY1459" s="17" t="s">
        <v>101</v>
      </c>
    </row>
    <row r="1460" spans="1:51" ht="12.75" customHeight="1" x14ac:dyDescent="0.25">
      <c r="A1460" s="5">
        <v>1372</v>
      </c>
      <c r="B1460" s="9">
        <v>1372</v>
      </c>
      <c r="C1460" s="9" t="s">
        <v>16716</v>
      </c>
      <c r="D1460" s="57" t="str">
        <f>HYPERLINK("http://prodenv.dep.state.fl.us/DepNexus/public/electronic-documents/OG_1372/facility!search","OG_1372_Docs")</f>
        <v>OG_1372_Docs</v>
      </c>
      <c r="E1460" s="57" t="str">
        <f>HYPERLINK("https://ca.dep.state.fl.us/mapdirect/?focus=oilandgas&amp;zoom=query&amp;querytype=oilandgas&amp;queryvalues=OG_1372","OG_1372_Map")</f>
        <v>OG_1372_Map</v>
      </c>
      <c r="F1460" s="24" t="s">
        <v>1797</v>
      </c>
      <c r="G1460" s="1" t="s">
        <v>5133</v>
      </c>
      <c r="H1460" s="24" t="s">
        <v>1363</v>
      </c>
      <c r="I1460" s="1" t="s">
        <v>16717</v>
      </c>
      <c r="J1460" s="17" t="s">
        <v>3646</v>
      </c>
      <c r="K1460" s="17" t="s">
        <v>412</v>
      </c>
      <c r="L1460" s="17"/>
      <c r="M1460" s="17"/>
      <c r="N1460" s="52" t="s">
        <v>4902</v>
      </c>
      <c r="O1460" s="17" t="s">
        <v>86</v>
      </c>
      <c r="P1460" s="17" t="s">
        <v>86</v>
      </c>
      <c r="Q1460" s="81" t="s">
        <v>16622</v>
      </c>
      <c r="R1460" s="11">
        <v>30.956206000000002</v>
      </c>
      <c r="S1460" s="11">
        <v>-87.159267999999997</v>
      </c>
      <c r="T1460" s="11" t="s">
        <v>16718</v>
      </c>
      <c r="U1460" s="11" t="s">
        <v>16719</v>
      </c>
      <c r="V1460" s="17" t="s">
        <v>16720</v>
      </c>
      <c r="W1460" s="17" t="s">
        <v>16721</v>
      </c>
      <c r="X1460" s="70">
        <v>288.3</v>
      </c>
      <c r="Y1460" s="70">
        <v>257.3</v>
      </c>
      <c r="Z1460" s="13">
        <v>42899</v>
      </c>
      <c r="AA1460" s="13">
        <v>43571</v>
      </c>
      <c r="AB1460" s="13">
        <v>43646</v>
      </c>
      <c r="AC1460" s="13"/>
      <c r="AD1460" s="86">
        <v>15845</v>
      </c>
      <c r="AE1460" s="86">
        <v>16140</v>
      </c>
      <c r="AF1460" s="70" t="s">
        <v>16722</v>
      </c>
      <c r="AG1460" s="23" t="s">
        <v>16627</v>
      </c>
      <c r="AH1460" s="17" t="s">
        <v>94</v>
      </c>
      <c r="AI1460" s="71" t="s">
        <v>16723</v>
      </c>
      <c r="AJ1460" s="23" t="s">
        <v>16724</v>
      </c>
      <c r="AK1460" s="17" t="s">
        <v>98</v>
      </c>
      <c r="AL1460" s="17" t="s">
        <v>98</v>
      </c>
      <c r="AM1460" s="17" t="s">
        <v>98</v>
      </c>
      <c r="AN1460" s="17" t="s">
        <v>98</v>
      </c>
      <c r="AO1460" s="17" t="s">
        <v>16725</v>
      </c>
      <c r="AP1460" s="17" t="s">
        <v>16726</v>
      </c>
      <c r="AQ1460" s="17" t="s">
        <v>16727</v>
      </c>
      <c r="AR1460" s="17" t="s">
        <v>16728</v>
      </c>
      <c r="AS1460" s="17"/>
      <c r="AT1460" s="17">
        <v>285</v>
      </c>
      <c r="AU1460" s="32" t="s">
        <v>16729</v>
      </c>
      <c r="AV1460" s="14" t="s">
        <v>94</v>
      </c>
      <c r="AW1460" s="74">
        <v>352135</v>
      </c>
      <c r="AX1460" s="17" t="s">
        <v>16730</v>
      </c>
      <c r="AY1460" s="17" t="s">
        <v>101</v>
      </c>
    </row>
    <row r="1461" spans="1:51" ht="12.75" customHeight="1" x14ac:dyDescent="0.25">
      <c r="A1461" s="5">
        <v>1373</v>
      </c>
      <c r="B1461" s="9">
        <v>1373</v>
      </c>
      <c r="C1461" s="9" t="s">
        <v>16731</v>
      </c>
      <c r="D1461" s="57" t="str">
        <f>HYPERLINK("http://prodenv.dep.state.fl.us/DepNexus/public/electronic-documents/OG_1373/facility!search","OG_1373_Docs")</f>
        <v>OG_1373_Docs</v>
      </c>
      <c r="E1461" s="57" t="str">
        <f>HYPERLINK("https://ca.dep.state.fl.us/mapdirect/?focus=oilandgas&amp;zoom=query&amp;querytype=oilandgas&amp;queryvalues=OG_1373","OG_1373_Map")</f>
        <v>OG_1373_Map</v>
      </c>
      <c r="F1461" s="24" t="s">
        <v>1797</v>
      </c>
      <c r="G1461" s="1" t="s">
        <v>5133</v>
      </c>
      <c r="H1461" s="24" t="s">
        <v>1363</v>
      </c>
      <c r="I1461" s="1" t="s">
        <v>16732</v>
      </c>
      <c r="J1461" s="17" t="s">
        <v>3646</v>
      </c>
      <c r="K1461" s="17" t="s">
        <v>412</v>
      </c>
      <c r="L1461" s="17"/>
      <c r="M1461" s="17"/>
      <c r="N1461" s="52" t="s">
        <v>16733</v>
      </c>
      <c r="O1461" s="17" t="s">
        <v>86</v>
      </c>
      <c r="P1461" s="17" t="s">
        <v>86</v>
      </c>
      <c r="Q1461" s="81" t="s">
        <v>16734</v>
      </c>
      <c r="R1461" s="11">
        <v>30.940702999999999</v>
      </c>
      <c r="S1461" s="11">
        <v>-87.172083000000001</v>
      </c>
      <c r="T1461" s="11" t="s">
        <v>16735</v>
      </c>
      <c r="U1461" s="11" t="s">
        <v>16736</v>
      </c>
      <c r="V1461" s="17" t="s">
        <v>16737</v>
      </c>
      <c r="W1461" s="17" t="s">
        <v>16738</v>
      </c>
      <c r="X1461" s="70">
        <v>290.39999999999998</v>
      </c>
      <c r="Y1461" s="70">
        <v>259.39999999999998</v>
      </c>
      <c r="Z1461" s="13">
        <v>42899</v>
      </c>
      <c r="AA1461" s="13">
        <v>43479</v>
      </c>
      <c r="AB1461" s="13">
        <v>43557</v>
      </c>
      <c r="AC1461" s="13"/>
      <c r="AD1461" s="86">
        <v>15932</v>
      </c>
      <c r="AE1461" s="86">
        <v>16325</v>
      </c>
      <c r="AF1461" s="70" t="s">
        <v>16722</v>
      </c>
      <c r="AG1461" s="23" t="s">
        <v>16739</v>
      </c>
      <c r="AH1461" s="17" t="s">
        <v>94</v>
      </c>
      <c r="AI1461" s="71" t="s">
        <v>16740</v>
      </c>
      <c r="AJ1461" s="23" t="s">
        <v>16741</v>
      </c>
      <c r="AK1461" s="17" t="s">
        <v>98</v>
      </c>
      <c r="AL1461" s="17" t="s">
        <v>98</v>
      </c>
      <c r="AM1461" s="17" t="s">
        <v>98</v>
      </c>
      <c r="AN1461" s="17" t="s">
        <v>98</v>
      </c>
      <c r="AO1461" s="17" t="s">
        <v>12912</v>
      </c>
      <c r="AP1461" s="17" t="s">
        <v>7932</v>
      </c>
      <c r="AQ1461" s="17" t="s">
        <v>16742</v>
      </c>
      <c r="AR1461" s="17" t="s">
        <v>16743</v>
      </c>
      <c r="AS1461" s="17"/>
      <c r="AT1461" s="17">
        <v>283</v>
      </c>
      <c r="AU1461" s="32" t="s">
        <v>16744</v>
      </c>
      <c r="AV1461" s="14"/>
      <c r="AW1461" s="74">
        <v>352138</v>
      </c>
      <c r="AX1461" s="17" t="s">
        <v>16730</v>
      </c>
      <c r="AY1461" s="17" t="s">
        <v>101</v>
      </c>
    </row>
    <row r="1462" spans="1:51" ht="12.75" customHeight="1" x14ac:dyDescent="0.25">
      <c r="A1462" s="5">
        <v>1374</v>
      </c>
      <c r="B1462" s="9">
        <v>1374</v>
      </c>
      <c r="C1462" s="9" t="s">
        <v>16745</v>
      </c>
      <c r="D1462" s="57" t="str">
        <f>HYPERLINK("http://prodenv.dep.state.fl.us/DepNexus/public/electronic-documents/OG_1374/facility!search","OG_1374_Docs")</f>
        <v>OG_1374_Docs</v>
      </c>
      <c r="E1462" s="57" t="str">
        <f>HYPERLINK("https://ca.dep.state.fl.us/mapdirect/?focus=oilandgas&amp;zoom=query&amp;querytype=oilandgas&amp;queryvalues=OG_1374","OG_1374_Map")</f>
        <v>OG_1374_Map</v>
      </c>
      <c r="F1462" s="1" t="s">
        <v>103</v>
      </c>
      <c r="G1462" s="1" t="s">
        <v>79</v>
      </c>
      <c r="H1462" s="1" t="s">
        <v>16746</v>
      </c>
      <c r="I1462" s="1" t="s">
        <v>16747</v>
      </c>
      <c r="J1462" s="17" t="s">
        <v>207</v>
      </c>
      <c r="K1462" s="17" t="s">
        <v>207</v>
      </c>
      <c r="L1462" s="17"/>
      <c r="M1462" s="17" t="s">
        <v>207</v>
      </c>
      <c r="N1462" s="17" t="s">
        <v>207</v>
      </c>
      <c r="O1462" s="17" t="s">
        <v>207</v>
      </c>
      <c r="P1462" s="17" t="s">
        <v>207</v>
      </c>
      <c r="Q1462" s="81" t="s">
        <v>16748</v>
      </c>
      <c r="R1462" s="11">
        <v>30.233908</v>
      </c>
      <c r="S1462" s="11">
        <v>-85.124602999999993</v>
      </c>
      <c r="T1462" s="11" t="s">
        <v>16749</v>
      </c>
      <c r="U1462" s="11" t="s">
        <v>16750</v>
      </c>
      <c r="V1462" s="13" t="s">
        <v>207</v>
      </c>
      <c r="W1462" s="13" t="s">
        <v>207</v>
      </c>
      <c r="X1462" s="70"/>
      <c r="Y1462" s="70"/>
      <c r="Z1462" s="13">
        <v>43803</v>
      </c>
      <c r="AA1462" s="13"/>
      <c r="AB1462" s="13"/>
      <c r="AC1462" s="13"/>
      <c r="AD1462" s="70"/>
      <c r="AE1462" s="70"/>
      <c r="AF1462" s="70" t="s">
        <v>207</v>
      </c>
      <c r="AG1462" s="13" t="s">
        <v>207</v>
      </c>
      <c r="AH1462" s="13" t="s">
        <v>207</v>
      </c>
      <c r="AI1462" s="70" t="s">
        <v>207</v>
      </c>
      <c r="AJ1462" s="13" t="s">
        <v>207</v>
      </c>
      <c r="AK1462" s="13" t="s">
        <v>207</v>
      </c>
      <c r="AL1462" s="13" t="s">
        <v>207</v>
      </c>
      <c r="AM1462" s="13" t="s">
        <v>207</v>
      </c>
      <c r="AN1462" s="13" t="s">
        <v>207</v>
      </c>
      <c r="AO1462" s="13" t="s">
        <v>207</v>
      </c>
      <c r="AP1462" s="13" t="s">
        <v>207</v>
      </c>
      <c r="AQ1462" s="13" t="s">
        <v>207</v>
      </c>
      <c r="AR1462" s="13" t="s">
        <v>207</v>
      </c>
      <c r="AS1462" s="13" t="s">
        <v>207</v>
      </c>
      <c r="AT1462" s="13" t="s">
        <v>207</v>
      </c>
      <c r="AU1462" s="83" t="s">
        <v>207</v>
      </c>
      <c r="AV1462" s="13" t="s">
        <v>207</v>
      </c>
      <c r="AW1462" s="74">
        <v>367919</v>
      </c>
      <c r="AX1462" s="1"/>
      <c r="AY1462" s="17" t="s">
        <v>101</v>
      </c>
    </row>
    <row r="1463" spans="1:51" ht="15" customHeight="1" x14ac:dyDescent="0.25">
      <c r="A1463" s="5">
        <v>1375</v>
      </c>
      <c r="B1463" s="9">
        <v>1375</v>
      </c>
      <c r="C1463" s="9" t="s">
        <v>16751</v>
      </c>
      <c r="D1463" s="57" t="str">
        <f>HYPERLINK("http://prodenv.dep.state.fl.us/DepNexus/public/electronic-documents/OG_1375/facility!search","OG_1375_Docs")</f>
        <v>OG_1375_Docs</v>
      </c>
      <c r="E1463" s="57" t="str">
        <f>HYPERLINK("https://ca.dep.state.fl.us/mapdirect/?focus=oilandgas&amp;zoom=query&amp;querytype=oilandgas&amp;queryvalues=OG_1375","OG_1375_Map")</f>
        <v>OG_1375_Map</v>
      </c>
      <c r="F1463" s="1" t="s">
        <v>103</v>
      </c>
      <c r="G1463" s="1" t="s">
        <v>79</v>
      </c>
      <c r="H1463" s="1" t="s">
        <v>16746</v>
      </c>
      <c r="I1463" s="1" t="s">
        <v>16752</v>
      </c>
      <c r="J1463" s="17" t="s">
        <v>207</v>
      </c>
      <c r="K1463" s="17" t="s">
        <v>207</v>
      </c>
      <c r="L1463" s="17"/>
      <c r="M1463" s="17" t="s">
        <v>207</v>
      </c>
      <c r="N1463" s="17" t="s">
        <v>207</v>
      </c>
      <c r="O1463" s="17" t="s">
        <v>207</v>
      </c>
      <c r="P1463" s="17" t="s">
        <v>207</v>
      </c>
      <c r="Q1463" s="81" t="s">
        <v>16748</v>
      </c>
      <c r="R1463" s="11">
        <v>30.233908</v>
      </c>
      <c r="S1463" s="11">
        <v>-85.124602999999993</v>
      </c>
      <c r="T1463" s="11" t="s">
        <v>16749</v>
      </c>
      <c r="U1463" s="11" t="s">
        <v>16750</v>
      </c>
      <c r="V1463" s="13" t="s">
        <v>207</v>
      </c>
      <c r="W1463" s="13" t="s">
        <v>207</v>
      </c>
      <c r="X1463" s="70"/>
      <c r="Y1463" s="70"/>
      <c r="Z1463" s="13">
        <v>43803</v>
      </c>
      <c r="AA1463" s="13"/>
      <c r="AB1463" s="13"/>
      <c r="AC1463" s="13"/>
      <c r="AD1463" s="70"/>
      <c r="AE1463" s="70"/>
      <c r="AF1463" s="70" t="s">
        <v>207</v>
      </c>
      <c r="AG1463" s="13" t="s">
        <v>207</v>
      </c>
      <c r="AH1463" s="13" t="s">
        <v>207</v>
      </c>
      <c r="AI1463" s="70" t="s">
        <v>207</v>
      </c>
      <c r="AJ1463" s="13" t="s">
        <v>207</v>
      </c>
      <c r="AK1463" s="13" t="s">
        <v>207</v>
      </c>
      <c r="AL1463" s="13" t="s">
        <v>207</v>
      </c>
      <c r="AM1463" s="13" t="s">
        <v>207</v>
      </c>
      <c r="AN1463" s="13" t="s">
        <v>207</v>
      </c>
      <c r="AO1463" s="13" t="s">
        <v>207</v>
      </c>
      <c r="AP1463" s="13" t="s">
        <v>207</v>
      </c>
      <c r="AQ1463" s="13" t="s">
        <v>207</v>
      </c>
      <c r="AR1463" s="13" t="s">
        <v>207</v>
      </c>
      <c r="AS1463" s="13" t="s">
        <v>207</v>
      </c>
      <c r="AT1463" s="13" t="s">
        <v>207</v>
      </c>
      <c r="AU1463" s="83" t="s">
        <v>207</v>
      </c>
      <c r="AV1463" s="13" t="s">
        <v>207</v>
      </c>
      <c r="AW1463" s="74">
        <v>367920</v>
      </c>
      <c r="AX1463" s="1"/>
      <c r="AY1463" s="17" t="s">
        <v>101</v>
      </c>
    </row>
    <row r="1464" spans="1:51" ht="12.75" customHeight="1" x14ac:dyDescent="0.25">
      <c r="A1464" s="5">
        <v>1376</v>
      </c>
      <c r="B1464" s="9">
        <v>1376</v>
      </c>
      <c r="C1464" s="9" t="s">
        <v>16753</v>
      </c>
      <c r="D1464" s="57" t="str">
        <f>HYPERLINK("http://prodenv.dep.state.fl.us/DepNexus/public/electronic-documents/OG_1376/facility!search","OG_1376_Docs")</f>
        <v>OG_1376_Docs</v>
      </c>
      <c r="E1464" s="57" t="str">
        <f>HYPERLINK("https://ca.dep.state.fl.us/mapdirect/?focus=oilandgas&amp;zoom=query&amp;querytype=oilandgas&amp;queryvalues=OG_1376","OG_1376_Map")</f>
        <v>OG_1376_Map</v>
      </c>
      <c r="F1464" s="1" t="s">
        <v>103</v>
      </c>
      <c r="G1464" s="1" t="s">
        <v>79</v>
      </c>
      <c r="H1464" s="1" t="s">
        <v>16746</v>
      </c>
      <c r="I1464" s="1" t="s">
        <v>16754</v>
      </c>
      <c r="J1464" s="17" t="s">
        <v>207</v>
      </c>
      <c r="K1464" s="17" t="s">
        <v>207</v>
      </c>
      <c r="L1464" s="17"/>
      <c r="M1464" s="17" t="s">
        <v>207</v>
      </c>
      <c r="N1464" s="17" t="s">
        <v>207</v>
      </c>
      <c r="O1464" s="17" t="s">
        <v>207</v>
      </c>
      <c r="P1464" s="17" t="s">
        <v>207</v>
      </c>
      <c r="Q1464" s="81" t="s">
        <v>16755</v>
      </c>
      <c r="R1464" s="11">
        <v>30.246500000000001</v>
      </c>
      <c r="S1464" s="11">
        <v>-85.141806000000003</v>
      </c>
      <c r="T1464" s="11" t="s">
        <v>16756</v>
      </c>
      <c r="U1464" s="11" t="s">
        <v>16757</v>
      </c>
      <c r="V1464" s="13" t="s">
        <v>207</v>
      </c>
      <c r="W1464" s="13" t="s">
        <v>207</v>
      </c>
      <c r="X1464" s="70"/>
      <c r="Y1464" s="70"/>
      <c r="Z1464" s="13">
        <v>43803</v>
      </c>
      <c r="AA1464" s="13"/>
      <c r="AB1464" s="13"/>
      <c r="AC1464" s="13"/>
      <c r="AD1464" s="70"/>
      <c r="AE1464" s="70"/>
      <c r="AF1464" s="70" t="s">
        <v>207</v>
      </c>
      <c r="AG1464" s="13" t="s">
        <v>207</v>
      </c>
      <c r="AH1464" s="13" t="s">
        <v>207</v>
      </c>
      <c r="AI1464" s="70" t="s">
        <v>207</v>
      </c>
      <c r="AJ1464" s="13" t="s">
        <v>207</v>
      </c>
      <c r="AK1464" s="13" t="s">
        <v>207</v>
      </c>
      <c r="AL1464" s="13" t="s">
        <v>207</v>
      </c>
      <c r="AM1464" s="13" t="s">
        <v>207</v>
      </c>
      <c r="AN1464" s="13" t="s">
        <v>207</v>
      </c>
      <c r="AO1464" s="13" t="s">
        <v>207</v>
      </c>
      <c r="AP1464" s="13" t="s">
        <v>207</v>
      </c>
      <c r="AQ1464" s="13" t="s">
        <v>207</v>
      </c>
      <c r="AR1464" s="13" t="s">
        <v>207</v>
      </c>
      <c r="AS1464" s="13" t="s">
        <v>207</v>
      </c>
      <c r="AT1464" s="13" t="s">
        <v>207</v>
      </c>
      <c r="AU1464" s="83" t="s">
        <v>207</v>
      </c>
      <c r="AV1464" s="13" t="s">
        <v>207</v>
      </c>
      <c r="AW1464" s="74">
        <v>367922</v>
      </c>
      <c r="AX1464" s="1"/>
      <c r="AY1464" s="17" t="s">
        <v>101</v>
      </c>
    </row>
    <row r="1465" spans="1:51" ht="15" customHeight="1" x14ac:dyDescent="0.25">
      <c r="A1465" s="5">
        <v>1377</v>
      </c>
      <c r="B1465" s="9">
        <v>1377</v>
      </c>
      <c r="C1465" s="9" t="s">
        <v>16758</v>
      </c>
      <c r="D1465" s="57" t="str">
        <f>HYPERLINK("http://prodenv.dep.state.fl.us/DepNexus/public/electronic-documents/OG_1377/facility!search","OG_1377_Docs")</f>
        <v>OG_1377_Docs</v>
      </c>
      <c r="E1465" s="57" t="str">
        <f>HYPERLINK("https://ca.dep.state.fl.us/mapdirect/?focus=oilandgas&amp;zoom=query&amp;querytype=oilandgas&amp;queryvalues=OG_1377","OG_1377_Map")</f>
        <v>OG_1377_Map</v>
      </c>
      <c r="F1465" s="1" t="s">
        <v>103</v>
      </c>
      <c r="G1465" s="1" t="s">
        <v>79</v>
      </c>
      <c r="H1465" s="1" t="s">
        <v>16746</v>
      </c>
      <c r="I1465" s="1" t="s">
        <v>16759</v>
      </c>
      <c r="J1465" s="17" t="s">
        <v>207</v>
      </c>
      <c r="K1465" s="17" t="s">
        <v>207</v>
      </c>
      <c r="L1465" s="17"/>
      <c r="M1465" s="17" t="s">
        <v>207</v>
      </c>
      <c r="N1465" s="17" t="s">
        <v>207</v>
      </c>
      <c r="O1465" s="17" t="s">
        <v>207</v>
      </c>
      <c r="P1465" s="17" t="s">
        <v>207</v>
      </c>
      <c r="Q1465" s="81" t="s">
        <v>16760</v>
      </c>
      <c r="R1465" s="11">
        <v>30.277221999999998</v>
      </c>
      <c r="S1465" s="11">
        <v>-85.105806000000001</v>
      </c>
      <c r="T1465" s="11" t="s">
        <v>16761</v>
      </c>
      <c r="U1465" s="11" t="s">
        <v>16762</v>
      </c>
      <c r="V1465" s="13" t="s">
        <v>207</v>
      </c>
      <c r="W1465" s="13" t="s">
        <v>207</v>
      </c>
      <c r="X1465" s="70"/>
      <c r="Y1465" s="70"/>
      <c r="Z1465" s="13">
        <v>43803</v>
      </c>
      <c r="AA1465" s="13"/>
      <c r="AB1465" s="13"/>
      <c r="AC1465" s="13"/>
      <c r="AD1465" s="70"/>
      <c r="AE1465" s="70"/>
      <c r="AF1465" s="70" t="s">
        <v>207</v>
      </c>
      <c r="AG1465" s="13" t="s">
        <v>207</v>
      </c>
      <c r="AH1465" s="13" t="s">
        <v>207</v>
      </c>
      <c r="AI1465" s="70" t="s">
        <v>207</v>
      </c>
      <c r="AJ1465" s="13" t="s">
        <v>207</v>
      </c>
      <c r="AK1465" s="13" t="s">
        <v>207</v>
      </c>
      <c r="AL1465" s="13" t="s">
        <v>207</v>
      </c>
      <c r="AM1465" s="13" t="s">
        <v>207</v>
      </c>
      <c r="AN1465" s="13" t="s">
        <v>207</v>
      </c>
      <c r="AO1465" s="13" t="s">
        <v>207</v>
      </c>
      <c r="AP1465" s="13" t="s">
        <v>207</v>
      </c>
      <c r="AQ1465" s="13" t="s">
        <v>207</v>
      </c>
      <c r="AR1465" s="13" t="s">
        <v>207</v>
      </c>
      <c r="AS1465" s="13" t="s">
        <v>207</v>
      </c>
      <c r="AT1465" s="13" t="s">
        <v>207</v>
      </c>
      <c r="AU1465" s="83" t="s">
        <v>207</v>
      </c>
      <c r="AV1465" s="13" t="s">
        <v>207</v>
      </c>
      <c r="AW1465" s="74">
        <v>367923</v>
      </c>
      <c r="AX1465" s="1"/>
      <c r="AY1465" s="17" t="s">
        <v>101</v>
      </c>
    </row>
    <row r="1466" spans="1:51" ht="12.75" customHeight="1" x14ac:dyDescent="0.25">
      <c r="A1466" s="5">
        <v>1378</v>
      </c>
      <c r="B1466" s="9">
        <v>1378</v>
      </c>
      <c r="C1466" s="9" t="s">
        <v>16763</v>
      </c>
      <c r="D1466" s="57" t="str">
        <f>HYPERLINK("http://prodenv.dep.state.fl.us/DepNexus/public/electronic-documents/OG_1378/facility!search","OG_1378_Docs")</f>
        <v>OG_1378_Docs</v>
      </c>
      <c r="E1466" s="57" t="str">
        <f>HYPERLINK("https://ca.dep.state.fl.us/mapdirect/?focus=oilandgas&amp;zoom=query&amp;querytype=oilandgas&amp;queryvalues=OG_1378","OG_1378_Map")</f>
        <v>OG_1378_Map</v>
      </c>
      <c r="F1466" s="1" t="s">
        <v>103</v>
      </c>
      <c r="G1466" s="1" t="s">
        <v>79</v>
      </c>
      <c r="H1466" s="1" t="s">
        <v>16746</v>
      </c>
      <c r="I1466" s="1" t="s">
        <v>16764</v>
      </c>
      <c r="J1466" s="17" t="s">
        <v>207</v>
      </c>
      <c r="K1466" s="17" t="s">
        <v>207</v>
      </c>
      <c r="L1466" s="17"/>
      <c r="M1466" s="17" t="s">
        <v>207</v>
      </c>
      <c r="N1466" s="17" t="s">
        <v>207</v>
      </c>
      <c r="O1466" s="17" t="s">
        <v>207</v>
      </c>
      <c r="P1466" s="17" t="s">
        <v>207</v>
      </c>
      <c r="Q1466" s="81" t="s">
        <v>16760</v>
      </c>
      <c r="R1466" s="11">
        <v>30.277221999999998</v>
      </c>
      <c r="S1466" s="11">
        <v>-85.105703000000005</v>
      </c>
      <c r="T1466" s="11" t="s">
        <v>16761</v>
      </c>
      <c r="U1466" s="11" t="s">
        <v>16765</v>
      </c>
      <c r="V1466" s="13" t="s">
        <v>207</v>
      </c>
      <c r="W1466" s="13" t="s">
        <v>207</v>
      </c>
      <c r="X1466" s="70"/>
      <c r="Y1466" s="70"/>
      <c r="Z1466" s="13">
        <v>43803</v>
      </c>
      <c r="AA1466" s="13"/>
      <c r="AB1466" s="13"/>
      <c r="AC1466" s="13"/>
      <c r="AD1466" s="70"/>
      <c r="AE1466" s="70"/>
      <c r="AF1466" s="70" t="s">
        <v>207</v>
      </c>
      <c r="AG1466" s="13" t="s">
        <v>207</v>
      </c>
      <c r="AH1466" s="13" t="s">
        <v>207</v>
      </c>
      <c r="AI1466" s="70" t="s">
        <v>207</v>
      </c>
      <c r="AJ1466" s="13" t="s">
        <v>207</v>
      </c>
      <c r="AK1466" s="13" t="s">
        <v>207</v>
      </c>
      <c r="AL1466" s="13" t="s">
        <v>207</v>
      </c>
      <c r="AM1466" s="13" t="s">
        <v>207</v>
      </c>
      <c r="AN1466" s="13" t="s">
        <v>207</v>
      </c>
      <c r="AO1466" s="13" t="s">
        <v>207</v>
      </c>
      <c r="AP1466" s="13" t="s">
        <v>207</v>
      </c>
      <c r="AQ1466" s="13" t="s">
        <v>207</v>
      </c>
      <c r="AR1466" s="13" t="s">
        <v>207</v>
      </c>
      <c r="AS1466" s="13" t="s">
        <v>207</v>
      </c>
      <c r="AT1466" s="13" t="s">
        <v>207</v>
      </c>
      <c r="AU1466" s="83" t="s">
        <v>207</v>
      </c>
      <c r="AV1466" s="13" t="s">
        <v>207</v>
      </c>
      <c r="AW1466" s="74">
        <v>367924</v>
      </c>
      <c r="AX1466" s="1"/>
      <c r="AY1466" s="17" t="s">
        <v>101</v>
      </c>
    </row>
    <row r="1467" spans="1:51" ht="12.75" customHeight="1" x14ac:dyDescent="0.25">
      <c r="A1467" s="5">
        <v>1379</v>
      </c>
      <c r="B1467" s="9">
        <v>1379</v>
      </c>
      <c r="C1467" s="9" t="s">
        <v>16766</v>
      </c>
      <c r="D1467" s="57" t="str">
        <f>HYPERLINK("http://prodenv.dep.state.fl.us/DepNexus/public/electronic-documents/OG_1379/facility!search","OG_1379_Docs")</f>
        <v>OG_1379_Docs</v>
      </c>
      <c r="E1467" s="57" t="str">
        <f>HYPERLINK("https://ca.dep.state.fl.us/mapdirect/?focus=oilandgas&amp;zoom=query&amp;querytype=oilandgas&amp;queryvalues=OG_1379","OG_1379_Map")</f>
        <v>OG_1379_Map</v>
      </c>
      <c r="F1467" s="1" t="s">
        <v>103</v>
      </c>
      <c r="G1467" s="1" t="s">
        <v>79</v>
      </c>
      <c r="H1467" s="1" t="s">
        <v>16746</v>
      </c>
      <c r="I1467" s="1" t="s">
        <v>16767</v>
      </c>
      <c r="J1467" s="17" t="s">
        <v>207</v>
      </c>
      <c r="K1467" s="17" t="s">
        <v>207</v>
      </c>
      <c r="L1467" s="17"/>
      <c r="M1467" s="17" t="s">
        <v>207</v>
      </c>
      <c r="N1467" s="17" t="s">
        <v>207</v>
      </c>
      <c r="O1467" s="17" t="s">
        <v>207</v>
      </c>
      <c r="P1467" s="17" t="s">
        <v>207</v>
      </c>
      <c r="Q1467" s="81" t="s">
        <v>16768</v>
      </c>
      <c r="R1467" s="11">
        <v>30.210999999999999</v>
      </c>
      <c r="S1467" s="11">
        <v>-85.177110999999996</v>
      </c>
      <c r="T1467" s="11" t="s">
        <v>16769</v>
      </c>
      <c r="U1467" s="11" t="s">
        <v>16770</v>
      </c>
      <c r="V1467" s="13" t="s">
        <v>207</v>
      </c>
      <c r="W1467" s="13" t="s">
        <v>207</v>
      </c>
      <c r="X1467" s="70"/>
      <c r="Y1467" s="70"/>
      <c r="Z1467" s="13">
        <v>43803</v>
      </c>
      <c r="AA1467" s="13"/>
      <c r="AB1467" s="13"/>
      <c r="AC1467" s="13"/>
      <c r="AD1467" s="70"/>
      <c r="AE1467" s="70"/>
      <c r="AF1467" s="70" t="s">
        <v>207</v>
      </c>
      <c r="AG1467" s="13" t="s">
        <v>207</v>
      </c>
      <c r="AH1467" s="13" t="s">
        <v>207</v>
      </c>
      <c r="AI1467" s="70" t="s">
        <v>207</v>
      </c>
      <c r="AJ1467" s="13" t="s">
        <v>207</v>
      </c>
      <c r="AK1467" s="13" t="s">
        <v>207</v>
      </c>
      <c r="AL1467" s="13" t="s">
        <v>207</v>
      </c>
      <c r="AM1467" s="13" t="s">
        <v>207</v>
      </c>
      <c r="AN1467" s="13" t="s">
        <v>207</v>
      </c>
      <c r="AO1467" s="13" t="s">
        <v>207</v>
      </c>
      <c r="AP1467" s="13" t="s">
        <v>207</v>
      </c>
      <c r="AQ1467" s="13" t="s">
        <v>207</v>
      </c>
      <c r="AR1467" s="13" t="s">
        <v>207</v>
      </c>
      <c r="AS1467" s="13" t="s">
        <v>207</v>
      </c>
      <c r="AT1467" s="13" t="s">
        <v>207</v>
      </c>
      <c r="AU1467" s="83" t="s">
        <v>207</v>
      </c>
      <c r="AV1467" s="13" t="s">
        <v>207</v>
      </c>
      <c r="AW1467" s="74">
        <v>367926</v>
      </c>
      <c r="AX1467" s="1"/>
      <c r="AY1467" s="17" t="s">
        <v>101</v>
      </c>
    </row>
    <row r="1468" spans="1:51" ht="12.75" customHeight="1" x14ac:dyDescent="0.25">
      <c r="A1468" s="5">
        <v>1380</v>
      </c>
      <c r="B1468" s="9">
        <v>1380</v>
      </c>
      <c r="C1468" s="9" t="s">
        <v>16771</v>
      </c>
      <c r="D1468" s="57" t="str">
        <f>HYPERLINK("http://prodenv.dep.state.fl.us/DepNexus/public/electronic-documents/OG_1380/facility!search","OG_1380_Docs")</f>
        <v>OG_1380_Docs</v>
      </c>
      <c r="E1468" s="57" t="str">
        <f>HYPERLINK("https://ca.dep.state.fl.us/mapdirect/?focus=oilandgas&amp;zoom=query&amp;querytype=oilandgas&amp;queryvalues=OG_1380","OG_1380_Map")</f>
        <v>OG_1380_Map</v>
      </c>
      <c r="F1468" s="1" t="s">
        <v>1797</v>
      </c>
      <c r="G1468" s="1" t="s">
        <v>1798</v>
      </c>
      <c r="H1468" s="1" t="s">
        <v>16772</v>
      </c>
      <c r="I1468" s="1" t="s">
        <v>16773</v>
      </c>
      <c r="J1468" s="17" t="s">
        <v>3646</v>
      </c>
      <c r="K1468" s="17" t="s">
        <v>412</v>
      </c>
      <c r="L1468" s="17"/>
      <c r="M1468" s="17"/>
      <c r="N1468" s="52" t="s">
        <v>16774</v>
      </c>
      <c r="O1468" s="17" t="s">
        <v>86</v>
      </c>
      <c r="P1468" s="17" t="s">
        <v>86</v>
      </c>
      <c r="Q1468" s="81" t="s">
        <v>16775</v>
      </c>
      <c r="R1468" s="11">
        <v>30.967092000000001</v>
      </c>
      <c r="S1468" s="11">
        <v>-87.118167</v>
      </c>
      <c r="T1468" s="11" t="s">
        <v>16776</v>
      </c>
      <c r="U1468" s="11" t="s">
        <v>16777</v>
      </c>
      <c r="V1468" s="17" t="s">
        <v>16778</v>
      </c>
      <c r="W1468" s="17" t="s">
        <v>16779</v>
      </c>
      <c r="X1468" s="70">
        <v>283.86</v>
      </c>
      <c r="Y1468" s="70">
        <v>251.95</v>
      </c>
      <c r="Z1468" s="13">
        <v>43280</v>
      </c>
      <c r="AA1468" s="13">
        <v>43525</v>
      </c>
      <c r="AB1468" s="13">
        <v>43608</v>
      </c>
      <c r="AC1468" s="13"/>
      <c r="AD1468" s="70">
        <v>15313</v>
      </c>
      <c r="AE1468" s="70">
        <v>15353</v>
      </c>
      <c r="AF1468" s="70" t="s">
        <v>16780</v>
      </c>
      <c r="AG1468" s="17" t="s">
        <v>16781</v>
      </c>
      <c r="AH1468" s="17" t="s">
        <v>16782</v>
      </c>
      <c r="AI1468" s="70" t="s">
        <v>16783</v>
      </c>
      <c r="AJ1468" s="17" t="s">
        <v>94</v>
      </c>
      <c r="AK1468" s="17" t="s">
        <v>94</v>
      </c>
      <c r="AL1468" s="17" t="s">
        <v>94</v>
      </c>
      <c r="AM1468" s="17" t="s">
        <v>95</v>
      </c>
      <c r="AN1468" s="17" t="s">
        <v>94</v>
      </c>
      <c r="AO1468" s="17" t="s">
        <v>16784</v>
      </c>
      <c r="AP1468" s="17" t="s">
        <v>16785</v>
      </c>
      <c r="AQ1468" s="17" t="s">
        <v>16786</v>
      </c>
      <c r="AR1468" s="17" t="s">
        <v>16787</v>
      </c>
      <c r="AS1468" s="17"/>
      <c r="AT1468" s="17">
        <v>234</v>
      </c>
      <c r="AU1468" s="32" t="s">
        <v>16788</v>
      </c>
      <c r="AV1468" s="14" t="s">
        <v>94</v>
      </c>
      <c r="AW1468" s="74">
        <v>360812</v>
      </c>
      <c r="AX1468" s="1"/>
      <c r="AY1468" s="17" t="s">
        <v>101</v>
      </c>
    </row>
    <row r="1469" spans="1:51" ht="12.75" customHeight="1" x14ac:dyDescent="0.25">
      <c r="A1469" s="5">
        <v>1381</v>
      </c>
      <c r="B1469" s="9">
        <v>1381</v>
      </c>
      <c r="C1469" s="9" t="s">
        <v>16789</v>
      </c>
      <c r="D1469" s="57" t="str">
        <f>HYPERLINK("http://prodenv.dep.state.fl.us/DepNexus/public/electronic-documents/OG_1381/facility!search","OG_1381_Docs")</f>
        <v>OG_1381_Docs</v>
      </c>
      <c r="E1469" s="57" t="str">
        <f>HYPERLINK("https://ca.dep.state.fl.us/mapdirect/?focus=oilandgas&amp;zoom=query&amp;querytype=oilandgas&amp;queryvalues=OG_1381","OG_1381_Map")</f>
        <v>OG_1381_Map</v>
      </c>
      <c r="F1469" s="1" t="s">
        <v>1797</v>
      </c>
      <c r="G1469" s="1" t="s">
        <v>1798</v>
      </c>
      <c r="H1469" s="1" t="s">
        <v>16772</v>
      </c>
      <c r="I1469" s="1" t="s">
        <v>16790</v>
      </c>
      <c r="J1469" s="17" t="s">
        <v>3646</v>
      </c>
      <c r="K1469" s="17" t="s">
        <v>412</v>
      </c>
      <c r="L1469" s="17"/>
      <c r="M1469" s="17"/>
      <c r="N1469" s="52" t="s">
        <v>16791</v>
      </c>
      <c r="O1469" s="17" t="s">
        <v>86</v>
      </c>
      <c r="P1469" s="17" t="s">
        <v>86</v>
      </c>
      <c r="Q1469" s="81" t="s">
        <v>16792</v>
      </c>
      <c r="R1469" s="11">
        <v>30.958917</v>
      </c>
      <c r="S1469" s="11">
        <v>-87.111389000000003</v>
      </c>
      <c r="T1469" s="11" t="s">
        <v>16793</v>
      </c>
      <c r="U1469" s="11" t="s">
        <v>16794</v>
      </c>
      <c r="V1469" s="17" t="s">
        <v>16795</v>
      </c>
      <c r="W1469" s="17" t="s">
        <v>16796</v>
      </c>
      <c r="X1469" s="70">
        <v>266.89999999999998</v>
      </c>
      <c r="Y1469" s="70">
        <v>241</v>
      </c>
      <c r="Z1469" s="13">
        <v>43280</v>
      </c>
      <c r="AA1469" s="13">
        <v>43399</v>
      </c>
      <c r="AB1469" s="13">
        <v>43482</v>
      </c>
      <c r="AC1469" s="13"/>
      <c r="AD1469" s="70">
        <v>15363</v>
      </c>
      <c r="AE1469" s="70">
        <v>15376</v>
      </c>
      <c r="AF1469" s="70" t="s">
        <v>16797</v>
      </c>
      <c r="AG1469" s="17" t="s">
        <v>16798</v>
      </c>
      <c r="AH1469" s="17" t="s">
        <v>16799</v>
      </c>
      <c r="AI1469" s="70" t="s">
        <v>16800</v>
      </c>
      <c r="AJ1469" s="17" t="s">
        <v>94</v>
      </c>
      <c r="AK1469" s="17" t="s">
        <v>94</v>
      </c>
      <c r="AL1469" s="17" t="s">
        <v>94</v>
      </c>
      <c r="AM1469" s="17" t="s">
        <v>95</v>
      </c>
      <c r="AN1469" s="17" t="s">
        <v>94</v>
      </c>
      <c r="AO1469" s="17" t="s">
        <v>16801</v>
      </c>
      <c r="AP1469" s="17" t="s">
        <v>16802</v>
      </c>
      <c r="AQ1469" s="17" t="s">
        <v>16803</v>
      </c>
      <c r="AR1469" s="17" t="s">
        <v>16804</v>
      </c>
      <c r="AS1469" s="17"/>
      <c r="AT1469" s="17">
        <v>224</v>
      </c>
      <c r="AU1469" s="32" t="s">
        <v>16805</v>
      </c>
      <c r="AV1469" s="14" t="s">
        <v>94</v>
      </c>
      <c r="AW1469" s="74">
        <v>360810</v>
      </c>
      <c r="AX1469" s="1"/>
      <c r="AY1469" s="17" t="s">
        <v>101</v>
      </c>
    </row>
    <row r="1470" spans="1:51" ht="12.75" customHeight="1" x14ac:dyDescent="0.25">
      <c r="A1470" s="5">
        <v>1382</v>
      </c>
      <c r="B1470" s="9">
        <v>1382</v>
      </c>
      <c r="C1470" s="9" t="s">
        <v>16806</v>
      </c>
      <c r="D1470" s="57" t="str">
        <f>HYPERLINK("http://prodenv.dep.state.fl.us/DepNexus/public/electronic-documents/OG_1382/facility!search","OG_1382_Docs")</f>
        <v>OG_1382_Docs</v>
      </c>
      <c r="E1470" s="57" t="str">
        <f>HYPERLINK("https://ca.dep.state.fl.us/mapdirect/?focus=oilandgas&amp;zoom=query&amp;querytype=oilandgas&amp;queryvalues=OG_1382","OG_1382_Map")</f>
        <v>OG_1382_Map</v>
      </c>
      <c r="F1470" s="1" t="s">
        <v>1797</v>
      </c>
      <c r="G1470" s="1" t="s">
        <v>1798</v>
      </c>
      <c r="H1470" s="1" t="s">
        <v>16772</v>
      </c>
      <c r="I1470" s="1" t="s">
        <v>16807</v>
      </c>
      <c r="J1470" s="17" t="s">
        <v>3646</v>
      </c>
      <c r="K1470" s="17" t="s">
        <v>412</v>
      </c>
      <c r="L1470" s="17"/>
      <c r="M1470" s="17"/>
      <c r="N1470" s="52" t="s">
        <v>16808</v>
      </c>
      <c r="O1470" s="17" t="s">
        <v>86</v>
      </c>
      <c r="P1470" s="17" t="s">
        <v>86</v>
      </c>
      <c r="Q1470" s="81" t="s">
        <v>16809</v>
      </c>
      <c r="R1470" s="11">
        <v>30.942360999999998</v>
      </c>
      <c r="S1470" s="11">
        <v>-87.105080000000001</v>
      </c>
      <c r="T1470" s="11" t="s">
        <v>16810</v>
      </c>
      <c r="U1470" s="11" t="s">
        <v>16811</v>
      </c>
      <c r="V1470" s="17" t="s">
        <v>16812</v>
      </c>
      <c r="W1470" s="17" t="s">
        <v>16813</v>
      </c>
      <c r="X1470" s="70">
        <v>214.37</v>
      </c>
      <c r="Y1470" s="70">
        <v>189</v>
      </c>
      <c r="Z1470" s="13">
        <v>43623</v>
      </c>
      <c r="AA1470" s="13">
        <v>43677</v>
      </c>
      <c r="AB1470" s="13">
        <v>43759</v>
      </c>
      <c r="AC1470" s="13"/>
      <c r="AD1470" s="70">
        <v>15287</v>
      </c>
      <c r="AE1470" s="70"/>
      <c r="AF1470" s="70" t="s">
        <v>16814</v>
      </c>
      <c r="AG1470" s="17" t="s">
        <v>16815</v>
      </c>
      <c r="AH1470" s="17" t="s">
        <v>16816</v>
      </c>
      <c r="AI1470" s="70" t="s">
        <v>16817</v>
      </c>
      <c r="AJ1470" s="17" t="s">
        <v>16818</v>
      </c>
      <c r="AK1470" s="17" t="s">
        <v>94</v>
      </c>
      <c r="AL1470" s="17" t="s">
        <v>94</v>
      </c>
      <c r="AM1470" s="17" t="s">
        <v>94</v>
      </c>
      <c r="AN1470" s="17" t="s">
        <v>94</v>
      </c>
      <c r="AO1470" s="17" t="s">
        <v>16819</v>
      </c>
      <c r="AP1470" s="17" t="s">
        <v>16820</v>
      </c>
      <c r="AQ1470" s="17" t="s">
        <v>16786</v>
      </c>
      <c r="AR1470" s="17" t="s">
        <v>16821</v>
      </c>
      <c r="AS1470" s="17"/>
      <c r="AT1470" s="17">
        <v>265</v>
      </c>
      <c r="AU1470" s="32" t="s">
        <v>16822</v>
      </c>
      <c r="AV1470" s="14" t="s">
        <v>94</v>
      </c>
      <c r="AW1470" s="74">
        <v>369683</v>
      </c>
      <c r="AX1470" s="1"/>
      <c r="AY1470" s="17" t="s">
        <v>101</v>
      </c>
    </row>
    <row r="1471" spans="1:51" ht="12.75" customHeight="1" x14ac:dyDescent="0.25">
      <c r="A1471" s="5">
        <v>1383</v>
      </c>
      <c r="B1471" s="9">
        <v>1383</v>
      </c>
      <c r="C1471" s="9" t="s">
        <v>16823</v>
      </c>
      <c r="D1471" s="57" t="str">
        <f>HYPERLINK("http://prodenv.dep.state.fl.us/DepNexus/public/electronic-documents/OG_1383/facility!search","OG_1383_Docs")</f>
        <v>OG_1383_Docs</v>
      </c>
      <c r="E1471" s="57" t="str">
        <f>HYPERLINK("https://ca.dep.state.fl.us/mapdirect/?focus=oilandgas&amp;zoom=query&amp;querytype=oilandgas&amp;queryvalues=OG_1383","OG_1383_Map")</f>
        <v>OG_1383_Map</v>
      </c>
      <c r="F1471" s="1" t="s">
        <v>1752</v>
      </c>
      <c r="G1471" s="1" t="s">
        <v>79</v>
      </c>
      <c r="H1471" s="1" t="s">
        <v>16824</v>
      </c>
      <c r="I1471" s="1" t="s">
        <v>16825</v>
      </c>
      <c r="J1471" s="17" t="s">
        <v>207</v>
      </c>
      <c r="K1471" s="17" t="s">
        <v>15808</v>
      </c>
      <c r="L1471" s="17"/>
      <c r="M1471" s="23" t="s">
        <v>207</v>
      </c>
      <c r="N1471" s="23" t="s">
        <v>207</v>
      </c>
      <c r="O1471" s="17" t="s">
        <v>86</v>
      </c>
      <c r="P1471" s="17" t="s">
        <v>86</v>
      </c>
      <c r="Q1471" s="81" t="s">
        <v>16826</v>
      </c>
      <c r="R1471" s="11">
        <v>26.697607999999999</v>
      </c>
      <c r="S1471" s="11">
        <v>-81.132402999999996</v>
      </c>
      <c r="T1471" s="11" t="s">
        <v>16827</v>
      </c>
      <c r="U1471" s="11" t="s">
        <v>16828</v>
      </c>
      <c r="V1471" s="17" t="s">
        <v>16829</v>
      </c>
      <c r="W1471" s="17" t="s">
        <v>16829</v>
      </c>
      <c r="X1471" s="70"/>
      <c r="Y1471" s="70"/>
      <c r="Z1471" s="13">
        <v>43651</v>
      </c>
      <c r="AA1471" s="13"/>
      <c r="AB1471" s="14"/>
      <c r="AC1471" s="13"/>
      <c r="AD1471" s="70"/>
      <c r="AE1471" s="70"/>
      <c r="AF1471" s="70" t="s">
        <v>207</v>
      </c>
      <c r="AG1471" s="14" t="s">
        <v>207</v>
      </c>
      <c r="AH1471" s="14" t="s">
        <v>207</v>
      </c>
      <c r="AI1471" s="70" t="s">
        <v>207</v>
      </c>
      <c r="AJ1471" s="14" t="s">
        <v>207</v>
      </c>
      <c r="AK1471" s="14" t="s">
        <v>207</v>
      </c>
      <c r="AL1471" s="14" t="s">
        <v>207</v>
      </c>
      <c r="AM1471" s="14" t="s">
        <v>207</v>
      </c>
      <c r="AN1471" s="14" t="s">
        <v>207</v>
      </c>
      <c r="AO1471" s="14" t="s">
        <v>207</v>
      </c>
      <c r="AP1471" s="14" t="s">
        <v>207</v>
      </c>
      <c r="AQ1471" s="14" t="s">
        <v>207</v>
      </c>
      <c r="AR1471" s="14" t="s">
        <v>207</v>
      </c>
      <c r="AS1471" s="14" t="s">
        <v>207</v>
      </c>
      <c r="AT1471" s="14" t="s">
        <v>207</v>
      </c>
      <c r="AU1471" s="83" t="s">
        <v>207</v>
      </c>
      <c r="AV1471" s="13" t="s">
        <v>207</v>
      </c>
      <c r="AW1471" s="74">
        <v>368289</v>
      </c>
      <c r="AX1471" s="1"/>
      <c r="AY1471" s="17" t="s">
        <v>101</v>
      </c>
    </row>
    <row r="1472" spans="1:51" ht="12.75" customHeight="1" x14ac:dyDescent="0.25">
      <c r="A1472" s="5">
        <v>1384</v>
      </c>
      <c r="B1472" s="9">
        <v>1384</v>
      </c>
      <c r="C1472" s="9" t="s">
        <v>16830</v>
      </c>
      <c r="D1472" s="57" t="str">
        <f>HYPERLINK("http://prodenv.dep.state.fl.us/DepNexus/public/electronic-documents/OG_1384/facility!search","OG_1384_Docs")</f>
        <v>OG_1384_Docs</v>
      </c>
      <c r="E1472" s="57" t="str">
        <f>HYPERLINK("https://ca.dep.state.fl.us/mapdirect/?focus=oilandgas&amp;zoom=query&amp;querytype=oilandgas&amp;queryvalues=OG_1384","OG_1384_Map")</f>
        <v>OG_1384_Map</v>
      </c>
      <c r="F1472" s="1" t="s">
        <v>1752</v>
      </c>
      <c r="G1472" s="1" t="s">
        <v>3668</v>
      </c>
      <c r="H1472" s="1" t="s">
        <v>15175</v>
      </c>
      <c r="I1472" s="1" t="s">
        <v>16831</v>
      </c>
      <c r="J1472" s="17" t="s">
        <v>16832</v>
      </c>
      <c r="K1472" s="17"/>
      <c r="L1472" s="17"/>
      <c r="M1472" s="17"/>
      <c r="N1472" s="52" t="s">
        <v>16833</v>
      </c>
      <c r="O1472" s="17" t="s">
        <v>86</v>
      </c>
      <c r="P1472" s="17" t="s">
        <v>86</v>
      </c>
      <c r="Q1472" s="81" t="s">
        <v>3842</v>
      </c>
      <c r="R1472" s="11">
        <v>26.532342</v>
      </c>
      <c r="S1472" s="11">
        <v>-81.436831999999995</v>
      </c>
      <c r="T1472" s="11" t="s">
        <v>16834</v>
      </c>
      <c r="U1472" s="11" t="s">
        <v>16835</v>
      </c>
      <c r="V1472" s="17" t="s">
        <v>16079</v>
      </c>
      <c r="W1472" s="17" t="s">
        <v>16836</v>
      </c>
      <c r="X1472" s="70"/>
      <c r="Y1472" s="70">
        <v>36</v>
      </c>
      <c r="Z1472" s="13">
        <v>43894</v>
      </c>
      <c r="AA1472" s="13">
        <v>43907</v>
      </c>
      <c r="AB1472" s="13"/>
      <c r="AC1472" s="13"/>
      <c r="AD1472" s="70">
        <v>11645</v>
      </c>
      <c r="AE1472" s="70">
        <v>12227</v>
      </c>
      <c r="AF1472" s="71" t="s">
        <v>16837</v>
      </c>
      <c r="AG1472" s="17" t="s">
        <v>16838</v>
      </c>
      <c r="AH1472" s="17" t="s">
        <v>16839</v>
      </c>
      <c r="AI1472" s="70" t="s">
        <v>16840</v>
      </c>
      <c r="AJ1472" s="17"/>
      <c r="AK1472" s="17"/>
      <c r="AL1472" s="17"/>
      <c r="AM1472" s="17"/>
      <c r="AN1472" s="17"/>
      <c r="AO1472" s="17"/>
      <c r="AP1472" s="17"/>
      <c r="AQ1472" s="17"/>
      <c r="AR1472" s="17" t="s">
        <v>16841</v>
      </c>
      <c r="AS1472" s="17"/>
      <c r="AT1472" s="17">
        <v>182</v>
      </c>
      <c r="AU1472" s="32" t="s">
        <v>16842</v>
      </c>
      <c r="AV1472" s="14"/>
      <c r="AW1472" s="74">
        <v>372397</v>
      </c>
      <c r="AX1472" s="1"/>
      <c r="AY1472" s="17" t="s">
        <v>101</v>
      </c>
    </row>
    <row r="1473" spans="1:51" ht="15" customHeight="1" x14ac:dyDescent="0.25">
      <c r="A1473" s="5">
        <v>1385</v>
      </c>
      <c r="B1473" s="9">
        <v>1385</v>
      </c>
      <c r="C1473" s="9" t="s">
        <v>16843</v>
      </c>
      <c r="D1473" s="57" t="str">
        <f>HYPERLINK("http://prodenv.dep.state.fl.us/DepNexus/public/electronic-documents/OG_1385/facility!search","OG_1385_Docs")</f>
        <v>OG_1385_Docs</v>
      </c>
      <c r="E1473" s="57" t="str">
        <f>HYPERLINK("https://ca.dep.state.fl.us/mapdirect/?focus=oilandgas&amp;zoom=query&amp;querytype=oilandgas&amp;queryvalues=OG_1385","OG_1385_Map")</f>
        <v>OG_1385_Map</v>
      </c>
      <c r="F1473" s="1" t="s">
        <v>1797</v>
      </c>
      <c r="G1473" s="1" t="s">
        <v>5133</v>
      </c>
      <c r="H1473" s="24" t="s">
        <v>1363</v>
      </c>
      <c r="I1473" s="1" t="s">
        <v>16844</v>
      </c>
      <c r="J1473" s="17" t="s">
        <v>207</v>
      </c>
      <c r="K1473" s="17" t="s">
        <v>207</v>
      </c>
      <c r="L1473" s="17"/>
      <c r="M1473" s="17" t="s">
        <v>207</v>
      </c>
      <c r="N1473" s="17" t="s">
        <v>207</v>
      </c>
      <c r="O1473" s="17" t="s">
        <v>207</v>
      </c>
      <c r="P1473" s="17" t="s">
        <v>207</v>
      </c>
      <c r="Q1473" s="81" t="s">
        <v>16845</v>
      </c>
      <c r="R1473" s="11">
        <v>30.932618000000002</v>
      </c>
      <c r="S1473" s="11">
        <v>-87.161658000000003</v>
      </c>
      <c r="T1473" s="11" t="s">
        <v>16846</v>
      </c>
      <c r="U1473" s="11" t="s">
        <v>16847</v>
      </c>
      <c r="V1473" s="17" t="s">
        <v>16848</v>
      </c>
      <c r="W1473" s="17" t="s">
        <v>16849</v>
      </c>
      <c r="X1473" s="70">
        <v>284.51</v>
      </c>
      <c r="Y1473" s="70">
        <v>259</v>
      </c>
      <c r="Z1473" s="13">
        <v>43699</v>
      </c>
      <c r="AA1473" s="13"/>
      <c r="AB1473" s="13"/>
      <c r="AC1473" s="13"/>
      <c r="AD1473" s="70"/>
      <c r="AE1473" s="70"/>
      <c r="AF1473" s="70" t="s">
        <v>207</v>
      </c>
      <c r="AG1473" s="13" t="s">
        <v>207</v>
      </c>
      <c r="AH1473" s="13" t="s">
        <v>207</v>
      </c>
      <c r="AI1473" s="70" t="s">
        <v>207</v>
      </c>
      <c r="AJ1473" s="13" t="s">
        <v>207</v>
      </c>
      <c r="AK1473" s="13" t="s">
        <v>207</v>
      </c>
      <c r="AL1473" s="13" t="s">
        <v>207</v>
      </c>
      <c r="AM1473" s="13" t="s">
        <v>207</v>
      </c>
      <c r="AN1473" s="13" t="s">
        <v>207</v>
      </c>
      <c r="AO1473" s="13" t="s">
        <v>207</v>
      </c>
      <c r="AP1473" s="13" t="s">
        <v>207</v>
      </c>
      <c r="AQ1473" s="13" t="s">
        <v>207</v>
      </c>
      <c r="AR1473" s="13" t="s">
        <v>207</v>
      </c>
      <c r="AS1473" s="13" t="s">
        <v>207</v>
      </c>
      <c r="AT1473" s="17" t="s">
        <v>207</v>
      </c>
      <c r="AU1473" s="83" t="s">
        <v>207</v>
      </c>
      <c r="AV1473" s="13" t="s">
        <v>207</v>
      </c>
      <c r="AW1473" s="74">
        <v>376580</v>
      </c>
      <c r="AX1473" s="17" t="s">
        <v>16850</v>
      </c>
      <c r="AY1473" s="17" t="s">
        <v>101</v>
      </c>
    </row>
    <row r="1474" spans="1:51" ht="15" customHeight="1" x14ac:dyDescent="0.25">
      <c r="A1474" s="5">
        <v>1386</v>
      </c>
      <c r="B1474" s="9">
        <v>1386</v>
      </c>
      <c r="C1474" s="9" t="s">
        <v>16851</v>
      </c>
      <c r="D1474" s="57" t="str">
        <f>HYPERLINK("http://prodenv.dep.state.fl.us/DepNexus/public/electronic-documents/OG_1386/facility!search","OG_1386_Docs")</f>
        <v>OG_1386_Docs</v>
      </c>
      <c r="E1474" s="57" t="str">
        <f>HYPERLINK("https://ca.dep.state.fl.us/mapdirect/?focus=oilandgas&amp;zoom=query&amp;querytype=oilandgas&amp;queryvalues=OG_1386","OG_1386_Map")</f>
        <v>OG_1386_Map</v>
      </c>
      <c r="F1474" s="1" t="s">
        <v>1797</v>
      </c>
      <c r="G1474" s="1" t="s">
        <v>5133</v>
      </c>
      <c r="H1474" s="24" t="s">
        <v>1363</v>
      </c>
      <c r="I1474" s="1" t="s">
        <v>16852</v>
      </c>
      <c r="J1474" s="17" t="s">
        <v>207</v>
      </c>
      <c r="K1474" s="17" t="s">
        <v>207</v>
      </c>
      <c r="L1474" s="17"/>
      <c r="M1474" s="17" t="s">
        <v>207</v>
      </c>
      <c r="N1474" s="17" t="s">
        <v>207</v>
      </c>
      <c r="O1474" s="17" t="s">
        <v>207</v>
      </c>
      <c r="P1474" s="17" t="s">
        <v>207</v>
      </c>
      <c r="Q1474" s="81" t="s">
        <v>16853</v>
      </c>
      <c r="R1474" s="11">
        <v>30.922013</v>
      </c>
      <c r="S1474" s="11">
        <v>-87.158991</v>
      </c>
      <c r="T1474" s="11" t="s">
        <v>16854</v>
      </c>
      <c r="U1474" s="11" t="s">
        <v>16855</v>
      </c>
      <c r="V1474" s="17" t="s">
        <v>16856</v>
      </c>
      <c r="W1474" s="17" t="s">
        <v>110</v>
      </c>
      <c r="X1474" s="70">
        <v>280.51</v>
      </c>
      <c r="Y1474" s="70">
        <v>255</v>
      </c>
      <c r="Z1474" s="13">
        <v>43699</v>
      </c>
      <c r="AA1474" s="14"/>
      <c r="AB1474" s="13"/>
      <c r="AC1474" s="13"/>
      <c r="AD1474" s="70"/>
      <c r="AE1474" s="70"/>
      <c r="AF1474" s="70" t="s">
        <v>207</v>
      </c>
      <c r="AG1474" s="17" t="s">
        <v>207</v>
      </c>
      <c r="AH1474" s="13" t="s">
        <v>207</v>
      </c>
      <c r="AI1474" s="70" t="s">
        <v>207</v>
      </c>
      <c r="AJ1474" s="13" t="s">
        <v>207</v>
      </c>
      <c r="AK1474" s="13" t="s">
        <v>207</v>
      </c>
      <c r="AL1474" s="13" t="s">
        <v>207</v>
      </c>
      <c r="AM1474" s="13" t="s">
        <v>207</v>
      </c>
      <c r="AN1474" s="13" t="s">
        <v>207</v>
      </c>
      <c r="AO1474" s="13" t="s">
        <v>207</v>
      </c>
      <c r="AP1474" s="13" t="s">
        <v>207</v>
      </c>
      <c r="AQ1474" s="13" t="s">
        <v>207</v>
      </c>
      <c r="AR1474" s="13" t="s">
        <v>207</v>
      </c>
      <c r="AS1474" s="13" t="s">
        <v>207</v>
      </c>
      <c r="AT1474" s="17" t="s">
        <v>207</v>
      </c>
      <c r="AU1474" s="83" t="s">
        <v>207</v>
      </c>
      <c r="AV1474" s="13" t="s">
        <v>207</v>
      </c>
      <c r="AW1474" s="74">
        <v>376589</v>
      </c>
      <c r="AX1474" s="17" t="s">
        <v>16850</v>
      </c>
      <c r="AY1474" s="17" t="s">
        <v>101</v>
      </c>
    </row>
    <row r="1475" spans="1:51" ht="15" customHeight="1" x14ac:dyDescent="0.25">
      <c r="A1475" s="5">
        <v>1387</v>
      </c>
      <c r="B1475" s="9">
        <v>1387</v>
      </c>
      <c r="C1475" s="9" t="s">
        <v>16857</v>
      </c>
      <c r="D1475" s="57" t="str">
        <f>HYPERLINK("http://prodenv.dep.state.fl.us/DepNexus/public/electronic-documents/OG_1387/facility!search","OG_1387_Docs")</f>
        <v>OG_1387_Docs</v>
      </c>
      <c r="E1475" s="57" t="str">
        <f>HYPERLINK("https://ca.dep.state.fl.us/mapdirect/?focus=oilandgas&amp;zoom=query&amp;querytype=oilandgas&amp;queryvalues=OG_1387","OG_1387_Map")</f>
        <v>OG_1387_Map</v>
      </c>
      <c r="F1475" s="1" t="s">
        <v>1797</v>
      </c>
      <c r="G1475" s="1" t="s">
        <v>5133</v>
      </c>
      <c r="H1475" s="24" t="s">
        <v>1363</v>
      </c>
      <c r="I1475" s="1" t="s">
        <v>16858</v>
      </c>
      <c r="J1475" s="17" t="s">
        <v>207</v>
      </c>
      <c r="K1475" s="17" t="s">
        <v>207</v>
      </c>
      <c r="L1475" s="17"/>
      <c r="M1475" s="17" t="s">
        <v>207</v>
      </c>
      <c r="N1475" s="17" t="s">
        <v>207</v>
      </c>
      <c r="O1475" s="17" t="s">
        <v>207</v>
      </c>
      <c r="P1475" s="17" t="s">
        <v>207</v>
      </c>
      <c r="Q1475" s="81" t="s">
        <v>16845</v>
      </c>
      <c r="R1475" s="11">
        <v>30.932625000000002</v>
      </c>
      <c r="S1475" s="11">
        <v>-87.161269000000004</v>
      </c>
      <c r="T1475" s="11" t="s">
        <v>16859</v>
      </c>
      <c r="U1475" s="11" t="s">
        <v>16860</v>
      </c>
      <c r="V1475" s="17" t="s">
        <v>16861</v>
      </c>
      <c r="W1475" s="17" t="s">
        <v>16862</v>
      </c>
      <c r="X1475" s="70">
        <v>284.51</v>
      </c>
      <c r="Y1475" s="70">
        <v>259</v>
      </c>
      <c r="Z1475" s="13">
        <v>43699</v>
      </c>
      <c r="AA1475" s="13"/>
      <c r="AB1475" s="13"/>
      <c r="AC1475" s="13"/>
      <c r="AD1475" s="70"/>
      <c r="AE1475" s="70"/>
      <c r="AF1475" s="70" t="s">
        <v>207</v>
      </c>
      <c r="AG1475" s="13" t="s">
        <v>207</v>
      </c>
      <c r="AH1475" s="13" t="s">
        <v>207</v>
      </c>
      <c r="AI1475" s="70" t="s">
        <v>207</v>
      </c>
      <c r="AJ1475" s="13" t="s">
        <v>207</v>
      </c>
      <c r="AK1475" s="13" t="s">
        <v>207</v>
      </c>
      <c r="AL1475" s="13" t="s">
        <v>207</v>
      </c>
      <c r="AM1475" s="13" t="s">
        <v>207</v>
      </c>
      <c r="AN1475" s="13" t="s">
        <v>207</v>
      </c>
      <c r="AO1475" s="13" t="s">
        <v>207</v>
      </c>
      <c r="AP1475" s="13" t="s">
        <v>207</v>
      </c>
      <c r="AQ1475" s="13" t="s">
        <v>207</v>
      </c>
      <c r="AR1475" s="13" t="s">
        <v>207</v>
      </c>
      <c r="AS1475" s="17" t="s">
        <v>207</v>
      </c>
      <c r="AT1475" s="17" t="s">
        <v>207</v>
      </c>
      <c r="AU1475" s="83" t="s">
        <v>207</v>
      </c>
      <c r="AV1475" s="14" t="s">
        <v>207</v>
      </c>
      <c r="AW1475" s="74">
        <v>376704</v>
      </c>
      <c r="AX1475" s="17" t="s">
        <v>16850</v>
      </c>
      <c r="AY1475" s="17" t="s">
        <v>101</v>
      </c>
    </row>
    <row r="1476" spans="1:51" ht="15" customHeight="1" x14ac:dyDescent="0.25">
      <c r="A1476" s="5">
        <v>1388</v>
      </c>
      <c r="B1476" s="9">
        <v>1388</v>
      </c>
      <c r="C1476" s="9" t="s">
        <v>16863</v>
      </c>
      <c r="D1476" s="57" t="str">
        <f>HYPERLINK("http://prodenv.dep.state.fl.us/DepNexus/public/electronic-documents/OG_1388/facility!search","OG_1388_Docs")</f>
        <v>OG_1388_Docs</v>
      </c>
      <c r="E1476" s="57" t="str">
        <f>HYPERLINK("https://ca.dep.state.fl.us/mapdirect/?focus=oilandgas&amp;zoom=query&amp;querytype=oilandgas&amp;queryvalues=OG_1388","OG_1388_Map")</f>
        <v>OG_1388_Map</v>
      </c>
      <c r="F1476" s="1" t="s">
        <v>103</v>
      </c>
      <c r="G1476" s="1" t="s">
        <v>79</v>
      </c>
      <c r="H1476" s="24" t="s">
        <v>16864</v>
      </c>
      <c r="I1476" s="1" t="s">
        <v>16747</v>
      </c>
      <c r="J1476" s="17" t="s">
        <v>11274</v>
      </c>
      <c r="K1476" s="17"/>
      <c r="L1476" s="17"/>
      <c r="M1476" s="17"/>
      <c r="N1476" s="52"/>
      <c r="O1476" s="17"/>
      <c r="P1476" s="17"/>
      <c r="Q1476" s="81" t="s">
        <v>16748</v>
      </c>
      <c r="R1476" s="11">
        <v>30.233908</v>
      </c>
      <c r="S1476" s="11">
        <v>-85.124602999999993</v>
      </c>
      <c r="T1476" s="11" t="s">
        <v>16749</v>
      </c>
      <c r="U1476" s="11" t="s">
        <v>16750</v>
      </c>
      <c r="V1476" s="17"/>
      <c r="W1476" s="17"/>
      <c r="X1476" s="70"/>
      <c r="Y1476" s="70"/>
      <c r="Z1476" s="13"/>
      <c r="AA1476" s="13"/>
      <c r="AB1476" s="13"/>
      <c r="AC1476" s="13"/>
      <c r="AD1476" s="70"/>
      <c r="AE1476" s="70"/>
      <c r="AF1476" s="70"/>
      <c r="AG1476" s="17"/>
      <c r="AH1476" s="17"/>
      <c r="AI1476" s="70"/>
      <c r="AJ1476" s="17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V1476" s="14"/>
      <c r="AW1476" s="74">
        <v>442825</v>
      </c>
      <c r="AX1476" s="1"/>
      <c r="AY1476" s="17" t="s">
        <v>101</v>
      </c>
    </row>
    <row r="1477" spans="1:51" ht="15" customHeight="1" x14ac:dyDescent="0.25">
      <c r="A1477" s="5">
        <v>1393</v>
      </c>
      <c r="B1477" s="9">
        <v>1393</v>
      </c>
      <c r="C1477" s="9" t="s">
        <v>16865</v>
      </c>
      <c r="D1477" s="57" t="str">
        <f>HYPERLINK("http://prodenv.dep.state.fl.us/DepNexus/public/electronic-documents/OG_1393/facility!search","OG_1393_Docs")</f>
        <v>OG_1393_Docs</v>
      </c>
      <c r="E1477" s="57" t="str">
        <f>HYPERLINK("https://ca.dep.state.fl.us/mapdirect/?focus=oilandgas&amp;zoom=query&amp;querytype=oilandgas&amp;queryvalues=OG_1393","OG_1393_Map")</f>
        <v>OG_1393_Map</v>
      </c>
      <c r="F1477" s="1" t="s">
        <v>539</v>
      </c>
      <c r="G1477" s="1" t="s">
        <v>79</v>
      </c>
      <c r="H1477" s="1" t="s">
        <v>14561</v>
      </c>
      <c r="I1477" s="1" t="s">
        <v>16866</v>
      </c>
      <c r="J1477" s="17" t="s">
        <v>82</v>
      </c>
      <c r="K1477" s="17" t="s">
        <v>83</v>
      </c>
      <c r="L1477" s="17"/>
      <c r="M1477" s="17"/>
      <c r="N1477" s="52" t="s">
        <v>16867</v>
      </c>
      <c r="O1477" s="17" t="s">
        <v>86</v>
      </c>
      <c r="P1477" s="17" t="s">
        <v>86</v>
      </c>
      <c r="Q1477" s="81" t="s">
        <v>16868</v>
      </c>
      <c r="R1477" s="11">
        <v>30.174778</v>
      </c>
      <c r="S1477" s="11">
        <v>-85.331980999999999</v>
      </c>
      <c r="T1477" s="11" t="s">
        <v>16869</v>
      </c>
      <c r="U1477" s="11" t="s">
        <v>16870</v>
      </c>
      <c r="V1477" s="17" t="s">
        <v>16871</v>
      </c>
      <c r="W1477" s="17" t="s">
        <v>16872</v>
      </c>
      <c r="X1477" s="70">
        <v>81.2</v>
      </c>
      <c r="Y1477" s="70">
        <v>55</v>
      </c>
      <c r="Z1477" s="13">
        <v>43801</v>
      </c>
      <c r="AA1477" s="13">
        <v>44334</v>
      </c>
      <c r="AB1477" s="13"/>
      <c r="AC1477" s="13">
        <v>44362</v>
      </c>
      <c r="AD1477" s="70">
        <v>12680</v>
      </c>
      <c r="AE1477" s="70">
        <v>12680</v>
      </c>
      <c r="AF1477" s="70" t="s">
        <v>16873</v>
      </c>
      <c r="AG1477" s="17" t="s">
        <v>16874</v>
      </c>
      <c r="AH1477" s="17" t="s">
        <v>98</v>
      </c>
      <c r="AI1477" s="70" t="s">
        <v>98</v>
      </c>
      <c r="AJ1477" s="17" t="s">
        <v>98</v>
      </c>
      <c r="AK1477" s="17" t="s">
        <v>16875</v>
      </c>
      <c r="AL1477" s="17" t="s">
        <v>86</v>
      </c>
      <c r="AM1477" s="17" t="s">
        <v>95</v>
      </c>
      <c r="AN1477" s="17" t="s">
        <v>94</v>
      </c>
      <c r="AO1477" s="17" t="s">
        <v>98</v>
      </c>
      <c r="AP1477" s="17" t="s">
        <v>98</v>
      </c>
      <c r="AQ1477" s="17" t="s">
        <v>98</v>
      </c>
      <c r="AR1477" s="17" t="s">
        <v>16876</v>
      </c>
      <c r="AS1477" s="17" t="s">
        <v>16877</v>
      </c>
      <c r="AT1477" s="17">
        <v>233</v>
      </c>
      <c r="AU1477" s="32" t="s">
        <v>16878</v>
      </c>
      <c r="AV1477" s="14">
        <v>19835</v>
      </c>
      <c r="AW1477" s="74">
        <v>377853</v>
      </c>
      <c r="AX1477" s="17" t="s">
        <v>16879</v>
      </c>
      <c r="AY1477" s="17" t="s">
        <v>101</v>
      </c>
    </row>
    <row r="1478" spans="1:51" ht="15" customHeight="1" x14ac:dyDescent="0.25">
      <c r="A1478" s="5">
        <v>1394</v>
      </c>
      <c r="B1478" s="9">
        <v>1394</v>
      </c>
      <c r="C1478" s="9" t="s">
        <v>16880</v>
      </c>
      <c r="D1478" s="57" t="str">
        <f>HYPERLINK("http://prodenv.dep.state.fl.us/DepNexus/public/electronic-documents/OG_1394/facility!search","OG_1394_Docs")</f>
        <v>OG_1394_Docs</v>
      </c>
      <c r="E1478" s="57" t="str">
        <f>HYPERLINK("https://ca.dep.state.fl.us/mapdirect/?focus=oilandgas&amp;zoom=query&amp;querytype=oilandgas&amp;queryvalues=OG_1394","OG_1394_Map")</f>
        <v>OG_1394_Map</v>
      </c>
      <c r="F1478" s="1" t="s">
        <v>265</v>
      </c>
      <c r="G1478" s="1" t="s">
        <v>79</v>
      </c>
      <c r="H1478" s="24" t="s">
        <v>16333</v>
      </c>
      <c r="I1478" s="79" t="s">
        <v>16881</v>
      </c>
      <c r="J1478" s="17" t="s">
        <v>13501</v>
      </c>
      <c r="K1478" s="17" t="s">
        <v>207</v>
      </c>
      <c r="L1478" s="17"/>
      <c r="M1478" t="s">
        <v>207</v>
      </c>
      <c r="N1478" s="17" t="s">
        <v>207</v>
      </c>
      <c r="O1478" s="17" t="s">
        <v>207</v>
      </c>
      <c r="P1478" s="17" t="s">
        <v>207</v>
      </c>
      <c r="Q1478" s="81"/>
      <c r="R1478" s="11">
        <v>26.444633</v>
      </c>
      <c r="S1478" s="11">
        <v>-81.421155999999996</v>
      </c>
      <c r="T1478" s="11" t="s">
        <v>16882</v>
      </c>
      <c r="U1478" s="11" t="s">
        <v>16883</v>
      </c>
      <c r="V1478" s="17" t="s">
        <v>16884</v>
      </c>
      <c r="W1478" s="17" t="s">
        <v>16885</v>
      </c>
      <c r="X1478" s="70">
        <v>59.78</v>
      </c>
      <c r="Y1478" s="70">
        <v>34</v>
      </c>
      <c r="Z1478" s="13"/>
      <c r="AA1478" s="13"/>
      <c r="AB1478" s="13"/>
      <c r="AC1478" s="13"/>
      <c r="AD1478" s="70"/>
      <c r="AE1478" s="70"/>
      <c r="AF1478" s="70" t="s">
        <v>207</v>
      </c>
      <c r="AG1478" s="13" t="s">
        <v>207</v>
      </c>
      <c r="AH1478" s="13" t="s">
        <v>207</v>
      </c>
      <c r="AI1478" s="70" t="s">
        <v>207</v>
      </c>
      <c r="AJ1478" s="13" t="s">
        <v>207</v>
      </c>
      <c r="AK1478" s="13" t="s">
        <v>207</v>
      </c>
      <c r="AL1478" s="13" t="s">
        <v>207</v>
      </c>
      <c r="AM1478" s="13" t="s">
        <v>207</v>
      </c>
      <c r="AN1478" s="13" t="s">
        <v>207</v>
      </c>
      <c r="AO1478" s="13" t="s">
        <v>207</v>
      </c>
      <c r="AP1478" s="13" t="s">
        <v>207</v>
      </c>
      <c r="AQ1478" s="13" t="s">
        <v>207</v>
      </c>
      <c r="AR1478" s="13" t="s">
        <v>207</v>
      </c>
      <c r="AS1478" s="13" t="s">
        <v>207</v>
      </c>
      <c r="AT1478" s="13" t="s">
        <v>207</v>
      </c>
      <c r="AU1478" s="30" t="s">
        <v>207</v>
      </c>
      <c r="AV1478" s="13" t="s">
        <v>207</v>
      </c>
      <c r="AW1478" s="74">
        <v>401122</v>
      </c>
      <c r="AX1478" s="1"/>
      <c r="AY1478" s="17" t="s">
        <v>101</v>
      </c>
    </row>
    <row r="1479" spans="1:51" ht="15" customHeight="1" x14ac:dyDescent="0.2"/>
    <row r="1480" spans="1:51" ht="15" customHeight="1" x14ac:dyDescent="0.2"/>
    <row r="1481" spans="1:51" ht="15" customHeight="1" x14ac:dyDescent="0.2"/>
    <row r="1482" spans="1:51" ht="15" customHeight="1" x14ac:dyDescent="0.2"/>
    <row r="1483" spans="1:51" ht="15" customHeight="1" x14ac:dyDescent="0.2"/>
    <row r="1484" spans="1:51" ht="15" customHeight="1" x14ac:dyDescent="0.2"/>
    <row r="1485" spans="1:51" ht="15" customHeight="1" x14ac:dyDescent="0.2"/>
    <row r="1486" spans="1:51" ht="15" customHeight="1" x14ac:dyDescent="0.2"/>
    <row r="1487" spans="1:51" ht="15" customHeight="1" x14ac:dyDescent="0.2"/>
    <row r="1488" spans="1:51" ht="15" customHeight="1" x14ac:dyDescent="0.2"/>
  </sheetData>
  <autoFilter ref="A1:AX1488" xr:uid="{00000000-0009-0000-0000-000001000000}"/>
  <conditionalFormatting sqref="J1:K1282">
    <cfRule type="cellIs" dxfId="33" priority="14" stopIfTrue="1" operator="equal">
      <formula>"INJ"</formula>
    </cfRule>
    <cfRule type="cellIs" dxfId="32" priority="15" stopIfTrue="1" operator="equal">
      <formula>"SWD"</formula>
    </cfRule>
    <cfRule type="cellIs" dxfId="31" priority="16" stopIfTrue="1" operator="equal">
      <formula>"PROD"</formula>
    </cfRule>
  </conditionalFormatting>
  <conditionalFormatting sqref="J1:K1458">
    <cfRule type="cellIs" dxfId="30" priority="13" stopIfTrue="1" operator="equal">
      <formula>"TA"</formula>
    </cfRule>
  </conditionalFormatting>
  <conditionalFormatting sqref="J1284:K1458">
    <cfRule type="cellIs" dxfId="29" priority="57" stopIfTrue="1" operator="equal">
      <formula>"INJ"</formula>
    </cfRule>
    <cfRule type="cellIs" dxfId="28" priority="58" stopIfTrue="1" operator="equal">
      <formula>"SWD"</formula>
    </cfRule>
    <cfRule type="cellIs" dxfId="27" priority="59" stopIfTrue="1" operator="equal">
      <formula>"PROD"</formula>
    </cfRule>
  </conditionalFormatting>
  <conditionalFormatting sqref="J1460:K1464 J1466:K1478 K1468:P1473 J1482:K1488">
    <cfRule type="cellIs" dxfId="26" priority="1" stopIfTrue="1" operator="equal">
      <formula>"TA"</formula>
    </cfRule>
    <cfRule type="cellIs" dxfId="25" priority="2" stopIfTrue="1" operator="equal">
      <formula>"INJ"</formula>
    </cfRule>
    <cfRule type="cellIs" dxfId="24" priority="3" stopIfTrue="1" operator="equal">
      <formula>"SWD"</formula>
    </cfRule>
    <cfRule type="cellIs" dxfId="23" priority="4" stopIfTrue="1" operator="equal">
      <formula>"PROD"</formula>
    </cfRule>
  </conditionalFormatting>
  <conditionalFormatting sqref="AX1427:AY1427 AX1465:AY1467">
    <cfRule type="cellIs" dxfId="22" priority="9" stopIfTrue="1" operator="equal">
      <formula>"TA"</formula>
    </cfRule>
    <cfRule type="cellIs" dxfId="21" priority="10" stopIfTrue="1" operator="equal">
      <formula>"INJ"</formula>
    </cfRule>
    <cfRule type="cellIs" dxfId="20" priority="11" stopIfTrue="1" operator="equal">
      <formula>"SWD"</formula>
    </cfRule>
    <cfRule type="cellIs" dxfId="19" priority="12" stopIfTrue="1" operator="equal">
      <formula>"PROD"</formula>
    </cfRule>
  </conditionalFormatting>
  <conditionalFormatting sqref="AX1455:AY1455">
    <cfRule type="cellIs" dxfId="18" priority="277" stopIfTrue="1" operator="equal">
      <formula>"INJ"</formula>
    </cfRule>
    <cfRule type="cellIs" dxfId="17" priority="278" stopIfTrue="1" operator="equal">
      <formula>"SWD"</formula>
    </cfRule>
    <cfRule type="cellIs" dxfId="16" priority="279" stopIfTrue="1" operator="equal">
      <formula>"PROD"</formula>
    </cfRule>
  </conditionalFormatting>
  <conditionalFormatting sqref="AX1459:AY1463">
    <cfRule type="cellIs" dxfId="15" priority="212" stopIfTrue="1" operator="equal">
      <formula>"TA"</formula>
    </cfRule>
    <cfRule type="cellIs" dxfId="14" priority="213" stopIfTrue="1" operator="equal">
      <formula>"INJ"</formula>
    </cfRule>
    <cfRule type="cellIs" dxfId="13" priority="214" stopIfTrue="1" operator="equal">
      <formula>"SWD"</formula>
    </cfRule>
    <cfRule type="cellIs" dxfId="12" priority="215" stopIfTrue="1" operator="equal">
      <formula>"PROD"</formula>
    </cfRule>
  </conditionalFormatting>
  <conditionalFormatting sqref="AX1479:AY1481">
    <cfRule type="cellIs" dxfId="11" priority="5" stopIfTrue="1" operator="equal">
      <formula>"TA"</formula>
    </cfRule>
    <cfRule type="cellIs" dxfId="10" priority="6" stopIfTrue="1" operator="equal">
      <formula>"INJ"</formula>
    </cfRule>
    <cfRule type="cellIs" dxfId="9" priority="7" stopIfTrue="1" operator="equal">
      <formula>"SWD"</formula>
    </cfRule>
    <cfRule type="cellIs" dxfId="8" priority="8" stopIfTrue="1" operator="equal">
      <formula>"PROD"</formula>
    </cfRule>
  </conditionalFormatting>
  <pageMargins left="0.75" right="0.75" top="1.35" bottom="1" header="0.5" footer="0.5"/>
  <pageSetup paperSize="131" scale="80" orientation="landscape"/>
  <headerFooter alignWithMargins="0">
    <oddHeader>&amp;L&amp;"Arial,Bold Italic"&amp;24 Wells in Excel !!!</oddHeader>
    <oddFooter>&amp;L&amp;8 &amp;D  &amp;T  &amp;F&amp;C&amp;"Arial,Bold Italic"&amp;18 Page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R68"/>
  <sheetViews>
    <sheetView tabSelected="1" zoomScaleNormal="100" workbookViewId="0">
      <selection activeCell="M7" sqref="M7"/>
    </sheetView>
  </sheetViews>
  <sheetFormatPr defaultRowHeight="12.75" x14ac:dyDescent="0.2"/>
  <cols>
    <col min="1" max="1" width="15.5703125" bestFit="1" customWidth="1"/>
    <col min="2" max="2" width="24.28515625" customWidth="1"/>
    <col min="4" max="4" width="21.85546875" bestFit="1" customWidth="1"/>
    <col min="5" max="5" width="24.28515625" customWidth="1"/>
    <col min="7" max="7" width="20.42578125" bestFit="1" customWidth="1"/>
    <col min="8" max="8" width="20" customWidth="1"/>
    <col min="9" max="9" width="26.28515625" customWidth="1"/>
  </cols>
  <sheetData>
    <row r="1" spans="1:18" ht="12.75" customHeight="1" x14ac:dyDescent="0.2">
      <c r="A1" s="92" t="s">
        <v>35</v>
      </c>
      <c r="B1" s="93" t="s">
        <v>16886</v>
      </c>
      <c r="D1" s="97" t="s">
        <v>36</v>
      </c>
      <c r="E1" s="98" t="s">
        <v>16886</v>
      </c>
      <c r="G1" s="92" t="s">
        <v>16887</v>
      </c>
      <c r="H1" s="100" t="s">
        <v>16888</v>
      </c>
      <c r="I1" t="s">
        <v>17053</v>
      </c>
      <c r="J1" t="s">
        <v>17052</v>
      </c>
      <c r="K1" s="43"/>
      <c r="M1" s="43"/>
      <c r="N1" s="43"/>
      <c r="O1" s="43"/>
      <c r="P1" s="43"/>
      <c r="Q1" s="43"/>
      <c r="R1" s="43"/>
    </row>
    <row r="2" spans="1:18" x14ac:dyDescent="0.2">
      <c r="A2" s="90" t="s">
        <v>689</v>
      </c>
      <c r="B2" s="51">
        <f>COUNTIF(WELLS!F:F,TOTALS!A2)</f>
        <v>6</v>
      </c>
      <c r="D2" s="96" t="s">
        <v>10836</v>
      </c>
      <c r="E2" s="51">
        <f>COUNTIF(WELLS!G:G,TOTALS!D2)</f>
        <v>3</v>
      </c>
      <c r="G2" s="90" t="s">
        <v>3646</v>
      </c>
      <c r="H2" s="41">
        <f>COUNTIF(WELLS!J:J,TOTALS!G2)</f>
        <v>74</v>
      </c>
      <c r="I2" s="114" t="s">
        <v>17054</v>
      </c>
      <c r="J2" s="43">
        <f>SUM(H2:H6)</f>
        <v>137</v>
      </c>
      <c r="K2" s="43"/>
      <c r="L2" s="43"/>
      <c r="M2" s="43"/>
      <c r="N2" s="43"/>
      <c r="O2" s="43"/>
      <c r="P2" s="43"/>
      <c r="Q2" s="43"/>
      <c r="R2" s="43"/>
    </row>
    <row r="3" spans="1:18" x14ac:dyDescent="0.2">
      <c r="A3" s="90" t="s">
        <v>784</v>
      </c>
      <c r="B3" s="51">
        <f>COUNTIF(WELLS!F:F,TOTALS!A3)</f>
        <v>3</v>
      </c>
      <c r="D3" s="96" t="s">
        <v>7239</v>
      </c>
      <c r="E3" s="51">
        <f>COUNTIF(WELLS!G:G,TOTALS!D3)</f>
        <v>60</v>
      </c>
      <c r="G3" s="90" t="s">
        <v>5135</v>
      </c>
      <c r="H3" s="41">
        <f>COUNTIF(WELLS!J:J,TOTALS!G3)</f>
        <v>32</v>
      </c>
      <c r="I3" s="115" t="s">
        <v>17055</v>
      </c>
      <c r="J3" s="142">
        <f>SUM(H7:H9)</f>
        <v>977</v>
      </c>
      <c r="K3" s="43"/>
      <c r="L3" s="43"/>
      <c r="M3" s="43"/>
      <c r="N3" s="43"/>
      <c r="O3" s="43"/>
      <c r="P3" s="43"/>
      <c r="Q3" s="43"/>
      <c r="R3" s="43"/>
    </row>
    <row r="4" spans="1:18" x14ac:dyDescent="0.2">
      <c r="A4" s="90" t="s">
        <v>151</v>
      </c>
      <c r="B4" s="51">
        <f>COUNTIF(WELLS!F:F,TOTALS!A4)</f>
        <v>13</v>
      </c>
      <c r="D4" s="96" t="s">
        <v>6648</v>
      </c>
      <c r="E4" s="51">
        <f>COUNTIF(WELLS!G:G,TOTALS!D4)</f>
        <v>39</v>
      </c>
      <c r="G4" s="90" t="s">
        <v>1365</v>
      </c>
      <c r="H4" s="41">
        <f>COUNTIF(WELLS!J:J,TOTALS!G4)</f>
        <v>21</v>
      </c>
      <c r="I4" s="143" t="s">
        <v>17056</v>
      </c>
      <c r="J4" s="142">
        <f>SUM(Table4[Number of Permits])</f>
        <v>1114</v>
      </c>
      <c r="K4" s="43"/>
      <c r="L4" s="43"/>
      <c r="M4" s="43"/>
      <c r="N4" s="43"/>
      <c r="O4" s="43"/>
      <c r="P4" s="43"/>
      <c r="Q4" s="43"/>
      <c r="R4" s="43"/>
    </row>
    <row r="5" spans="1:18" x14ac:dyDescent="0.2">
      <c r="A5" s="90" t="s">
        <v>581</v>
      </c>
      <c r="B5" s="51">
        <f>COUNTIF(WELLS!F:F,TOTALS!A5)</f>
        <v>3</v>
      </c>
      <c r="D5" s="96" t="s">
        <v>15103</v>
      </c>
      <c r="E5" s="51">
        <f>COUNTIF(WELLS!G:G,TOTALS!D5)</f>
        <v>3</v>
      </c>
      <c r="G5" s="90" t="s">
        <v>5107</v>
      </c>
      <c r="H5" s="41">
        <f>COUNTIF(WELLS!J:J,TOTALS!G5)</f>
        <v>9</v>
      </c>
      <c r="I5" s="144"/>
      <c r="J5" s="145"/>
      <c r="K5" s="43"/>
      <c r="L5" s="43"/>
      <c r="M5" s="43"/>
      <c r="N5" s="43"/>
      <c r="O5" s="43"/>
      <c r="P5" s="43"/>
      <c r="Q5" s="43"/>
      <c r="R5" s="43"/>
    </row>
    <row r="6" spans="1:18" x14ac:dyDescent="0.2">
      <c r="A6" s="91" t="s">
        <v>16889</v>
      </c>
      <c r="B6" s="51">
        <f>COUNTIF(WELLS!F:F,TOTALS!A6)</f>
        <v>0</v>
      </c>
      <c r="D6" s="96" t="s">
        <v>2103</v>
      </c>
      <c r="E6" s="51">
        <f>COUNTIF(WELLS!G:G,TOTALS!D6)</f>
        <v>10</v>
      </c>
      <c r="G6" s="90" t="s">
        <v>16890</v>
      </c>
      <c r="H6" s="41">
        <v>1</v>
      </c>
      <c r="I6" s="146"/>
      <c r="J6" s="144"/>
      <c r="L6" s="43"/>
      <c r="M6" s="43"/>
      <c r="N6" s="43"/>
      <c r="O6" s="43"/>
      <c r="P6" s="43"/>
      <c r="Q6" s="43"/>
      <c r="R6" s="43"/>
    </row>
    <row r="7" spans="1:18" ht="13.5" customHeight="1" x14ac:dyDescent="0.2">
      <c r="A7" s="90" t="s">
        <v>14465</v>
      </c>
      <c r="B7" s="51">
        <f>COUNTIF(WELLS!F:F,TOTALS!A7)</f>
        <v>2</v>
      </c>
      <c r="D7" s="96" t="s">
        <v>13949</v>
      </c>
      <c r="E7" s="51">
        <f>COUNTIF(WELLS!G:G,TOTALS!D7)</f>
        <v>9</v>
      </c>
      <c r="G7" s="90" t="s">
        <v>268</v>
      </c>
      <c r="H7" s="41">
        <f>COUNTIF(WELLS!J:J,TOTALS!G7)</f>
        <v>246</v>
      </c>
      <c r="I7" s="146"/>
      <c r="J7" s="147"/>
    </row>
    <row r="8" spans="1:18" x14ac:dyDescent="0.2">
      <c r="A8" s="90" t="s">
        <v>103</v>
      </c>
      <c r="B8" s="51">
        <f>COUNTIF(WELLS!F:F,TOTALS!A8)</f>
        <v>23</v>
      </c>
      <c r="D8" s="96" t="s">
        <v>14480</v>
      </c>
      <c r="E8" s="51">
        <f>COUNTIF(WELLS!G:G,TOTALS!D8)</f>
        <v>18</v>
      </c>
      <c r="G8" s="90" t="s">
        <v>82</v>
      </c>
      <c r="H8" s="51">
        <f>COUNTIF(WELLS!J:J,TOTALS!G8)</f>
        <v>718</v>
      </c>
      <c r="I8" s="148"/>
      <c r="J8" s="149"/>
    </row>
    <row r="9" spans="1:18" x14ac:dyDescent="0.2">
      <c r="A9" s="90" t="s">
        <v>2222</v>
      </c>
      <c r="B9" s="51">
        <f>COUNTIF(WELLS!F:F,TOTALS!A9)</f>
        <v>12</v>
      </c>
      <c r="D9" s="96" t="s">
        <v>5133</v>
      </c>
      <c r="E9" s="51">
        <f>COUNTIF(WELLS!G:G,TOTALS!D9)</f>
        <v>184</v>
      </c>
      <c r="G9" s="94" t="s">
        <v>4294</v>
      </c>
      <c r="H9" s="95">
        <f>COUNTIF(WELLS!J:J,TOTALS!G9)</f>
        <v>13</v>
      </c>
      <c r="I9" s="147"/>
      <c r="J9" s="147"/>
    </row>
    <row r="10" spans="1:18" ht="13.5" customHeight="1" x14ac:dyDescent="0.2">
      <c r="A10" s="90" t="s">
        <v>4241</v>
      </c>
      <c r="B10" s="51">
        <f>COUNTIF(WELLS!F:F,TOTALS!A10)</f>
        <v>4</v>
      </c>
      <c r="D10" s="96" t="s">
        <v>4879</v>
      </c>
      <c r="E10" s="51">
        <f>COUNTIF(WELLS!G:G,TOTALS!D10)</f>
        <v>4</v>
      </c>
      <c r="I10" s="147"/>
      <c r="J10" s="147"/>
    </row>
    <row r="11" spans="1:18" x14ac:dyDescent="0.2">
      <c r="A11" s="90" t="s">
        <v>700</v>
      </c>
      <c r="B11" s="51">
        <f>COUNTIF(WELLS!F:F,TOTALS!A11)</f>
        <v>2</v>
      </c>
      <c r="D11" s="96" t="s">
        <v>9085</v>
      </c>
      <c r="E11" s="51">
        <f>COUNTIF(WELLS!G:G,TOTALS!D11)</f>
        <v>23</v>
      </c>
    </row>
    <row r="12" spans="1:18" x14ac:dyDescent="0.2">
      <c r="A12" s="90" t="s">
        <v>265</v>
      </c>
      <c r="B12" s="51">
        <f>COUNTIF(WELLS!F:F,TOTALS!A12)</f>
        <v>337</v>
      </c>
      <c r="D12" s="96" t="s">
        <v>15254</v>
      </c>
      <c r="E12" s="51">
        <f>COUNTIF(WELLS!G:G,TOTALS!D12)</f>
        <v>3</v>
      </c>
    </row>
    <row r="13" spans="1:18" x14ac:dyDescent="0.2">
      <c r="A13" s="90" t="s">
        <v>1041</v>
      </c>
      <c r="B13" s="51">
        <f>COUNTIF(WELLS!F:F,TOTALS!A13)</f>
        <v>24</v>
      </c>
      <c r="D13" s="96" t="s">
        <v>14779</v>
      </c>
      <c r="E13" s="51">
        <f>COUNTIF(WELLS!G:G,TOTALS!D13)</f>
        <v>5</v>
      </c>
    </row>
    <row r="14" spans="1:18" x14ac:dyDescent="0.2">
      <c r="A14" s="90" t="s">
        <v>204</v>
      </c>
      <c r="B14" s="51">
        <f>COUNTIF(WELLS!F:F,TOTALS!A14)</f>
        <v>14</v>
      </c>
      <c r="D14" s="96" t="s">
        <v>11251</v>
      </c>
      <c r="E14" s="51">
        <f>COUNTIF(WELLS!G:G,TOTALS!D14)</f>
        <v>15</v>
      </c>
      <c r="G14" s="129" t="s">
        <v>16891</v>
      </c>
      <c r="H14" s="130"/>
      <c r="I14" s="62"/>
    </row>
    <row r="15" spans="1:18" x14ac:dyDescent="0.2">
      <c r="A15" s="90" t="s">
        <v>7835</v>
      </c>
      <c r="B15" s="51">
        <f>COUNTIF(WELLS!F:F,TOTALS!A15)</f>
        <v>3</v>
      </c>
      <c r="D15" s="96" t="s">
        <v>1798</v>
      </c>
      <c r="E15" s="51">
        <f>COUNTIF(WELLS!G:G,TOTALS!D15)</f>
        <v>28</v>
      </c>
      <c r="G15" s="131" t="s">
        <v>1682</v>
      </c>
      <c r="H15" s="132"/>
      <c r="I15" s="62" t="s">
        <v>16892</v>
      </c>
    </row>
    <row r="16" spans="1:18" x14ac:dyDescent="0.2">
      <c r="A16" s="90" t="s">
        <v>215</v>
      </c>
      <c r="B16" s="51">
        <f>COUNTIF(WELLS!F:F,TOTALS!A16)</f>
        <v>5</v>
      </c>
      <c r="D16" s="96" t="s">
        <v>11170</v>
      </c>
      <c r="E16" s="51">
        <f>COUNTIF(WELLS!G:G,TOTALS!D16)</f>
        <v>3</v>
      </c>
      <c r="G16" s="103" t="s">
        <v>17049</v>
      </c>
      <c r="H16" s="93" t="s">
        <v>17048</v>
      </c>
    </row>
    <row r="17" spans="1:18" x14ac:dyDescent="0.2">
      <c r="A17" s="90" t="s">
        <v>4912</v>
      </c>
      <c r="B17" s="51">
        <f>COUNTIF(WELLS!F:F,TOTALS!A17)</f>
        <v>3</v>
      </c>
      <c r="D17" s="96" t="s">
        <v>10452</v>
      </c>
      <c r="E17" s="51">
        <f>COUNTIF(WELLS!G:G,TOTALS!D17)</f>
        <v>46</v>
      </c>
      <c r="G17" s="101" t="s">
        <v>16886</v>
      </c>
      <c r="H17" s="51">
        <f>COUNTIF(WELLS!F:F,TOTALS!G15)</f>
        <v>78</v>
      </c>
    </row>
    <row r="18" spans="1:18" x14ac:dyDescent="0.2">
      <c r="A18" s="90" t="s">
        <v>1682</v>
      </c>
      <c r="B18" s="51">
        <f>COUNTIF(WELLS!F:F,TOTALS!A18)</f>
        <v>78</v>
      </c>
      <c r="D18" s="96" t="s">
        <v>8522</v>
      </c>
      <c r="E18" s="51">
        <f>COUNTIF(WELLS!G:G,TOTALS!D18)</f>
        <v>9</v>
      </c>
      <c r="G18" s="101" t="s">
        <v>16893</v>
      </c>
      <c r="H18" s="51">
        <f>COUNTIFS(WELLS!F:F,TOTALS!G15,WELLS!J:J,"&lt;&gt;N/D",WELLS!J:J,"&lt;&gt;")</f>
        <v>63</v>
      </c>
    </row>
    <row r="19" spans="1:18" x14ac:dyDescent="0.2">
      <c r="A19" s="90" t="s">
        <v>499</v>
      </c>
      <c r="B19" s="51">
        <f>COUNTIF(WELLS!F:F,TOTALS!A19)</f>
        <v>2</v>
      </c>
      <c r="D19" s="96" t="s">
        <v>266</v>
      </c>
      <c r="E19" s="51">
        <f>COUNTIF(WELLS!G:G,TOTALS!D19)</f>
        <v>37</v>
      </c>
      <c r="G19" s="101" t="s">
        <v>16894</v>
      </c>
      <c r="H19" s="51">
        <f>SUM(COUNTIFS(WELLS!F:F,TOTALS!G15,WELLS!J:J,{"P&amp;A","DRY HOLE/P&amp;A","JUNKED"}))</f>
        <v>51</v>
      </c>
    </row>
    <row r="20" spans="1:18" x14ac:dyDescent="0.2">
      <c r="A20" s="90" t="s">
        <v>191</v>
      </c>
      <c r="B20" s="51">
        <f>COUNTIF(WELLS!F:F,TOTALS!A20)</f>
        <v>21</v>
      </c>
      <c r="D20" s="96" t="s">
        <v>3668</v>
      </c>
      <c r="E20" s="51">
        <f>COUNTIF(WELLS!G:G,TOTALS!D20)</f>
        <v>51</v>
      </c>
      <c r="G20" s="102" t="s">
        <v>16895</v>
      </c>
      <c r="H20" s="95">
        <f>SUM(COUNTIFS(WELLS!F:F,TOTALS!G15,WELLS!J:J,{"PROD","INJ","SWD","TA"}))</f>
        <v>11</v>
      </c>
    </row>
    <row r="21" spans="1:18" ht="13.5" customHeight="1" thickBot="1" x14ac:dyDescent="0.25">
      <c r="A21" s="90" t="s">
        <v>486</v>
      </c>
      <c r="B21" s="51">
        <f>COUNTIF(WELLS!F:F,TOTALS!A21)</f>
        <v>8</v>
      </c>
      <c r="D21" s="96" t="s">
        <v>10981</v>
      </c>
      <c r="E21" s="51">
        <f>COUNTIF(WELLS!G:G,TOTALS!D21)</f>
        <v>7</v>
      </c>
    </row>
    <row r="22" spans="1:18" ht="13.5" thickBot="1" x14ac:dyDescent="0.25">
      <c r="A22" s="90" t="s">
        <v>141</v>
      </c>
      <c r="B22" s="51">
        <f>COUNTIF(WELLS!F:F,TOTALS!A22)</f>
        <v>2</v>
      </c>
      <c r="D22" s="96" t="s">
        <v>13285</v>
      </c>
      <c r="E22" s="51">
        <f>COUNTIF(WELLS!G:G,TOTALS!D22)</f>
        <v>11</v>
      </c>
      <c r="L22" s="133" t="s">
        <v>16896</v>
      </c>
      <c r="M22" s="134"/>
      <c r="N22" s="134"/>
      <c r="O22" s="134"/>
      <c r="P22" s="134"/>
      <c r="Q22" s="134"/>
      <c r="R22" s="135"/>
    </row>
    <row r="23" spans="1:18" x14ac:dyDescent="0.2">
      <c r="A23" s="90" t="s">
        <v>1837</v>
      </c>
      <c r="B23" s="51">
        <f>COUNTIF(WELLS!F:F,TOTALS!A23)</f>
        <v>5</v>
      </c>
      <c r="D23" s="96" t="s">
        <v>4496</v>
      </c>
      <c r="E23" s="51">
        <f>COUNTIF(WELLS!G:G,TOTALS!D23)</f>
        <v>98</v>
      </c>
      <c r="L23" s="136"/>
      <c r="M23" s="137"/>
      <c r="N23" s="137"/>
      <c r="O23" s="137"/>
      <c r="P23" s="137"/>
      <c r="Q23" s="137"/>
      <c r="R23" s="138"/>
    </row>
    <row r="24" spans="1:18" x14ac:dyDescent="0.2">
      <c r="A24" s="90" t="s">
        <v>539</v>
      </c>
      <c r="B24" s="51">
        <f>COUNTIF(WELLS!F:F,TOTALS!A24)</f>
        <v>10</v>
      </c>
      <c r="D24" s="99" t="s">
        <v>79</v>
      </c>
      <c r="E24" s="95">
        <f>COUNTIF(WELLS!G:G,TOTALS!D24)</f>
        <v>811</v>
      </c>
      <c r="L24" s="136"/>
      <c r="M24" s="137"/>
      <c r="N24" s="137"/>
      <c r="O24" s="137"/>
      <c r="P24" s="137"/>
      <c r="Q24" s="137"/>
      <c r="R24" s="138"/>
    </row>
    <row r="25" spans="1:18" x14ac:dyDescent="0.2">
      <c r="A25" s="91" t="s">
        <v>16897</v>
      </c>
      <c r="B25" s="51">
        <f>COUNTIF(WELLS!F:F,TOTALS!A25)</f>
        <v>0</v>
      </c>
      <c r="L25" s="136"/>
      <c r="M25" s="137"/>
      <c r="N25" s="137"/>
      <c r="O25" s="137"/>
      <c r="P25" s="137"/>
      <c r="Q25" s="137"/>
      <c r="R25" s="138"/>
    </row>
    <row r="26" spans="1:18" x14ac:dyDescent="0.2">
      <c r="A26" s="90" t="s">
        <v>853</v>
      </c>
      <c r="B26" s="51">
        <f>COUNTIF(WELLS!F:F,TOTALS!A26)</f>
        <v>1</v>
      </c>
      <c r="L26" s="136"/>
      <c r="M26" s="137"/>
      <c r="N26" s="137"/>
      <c r="O26" s="137"/>
      <c r="P26" s="137"/>
      <c r="Q26" s="137"/>
      <c r="R26" s="138"/>
    </row>
    <row r="27" spans="1:18" x14ac:dyDescent="0.2">
      <c r="A27" s="90" t="s">
        <v>1752</v>
      </c>
      <c r="B27" s="51">
        <f>COUNTIF(WELLS!F:F,TOTALS!A27)</f>
        <v>192</v>
      </c>
      <c r="L27" s="136"/>
      <c r="M27" s="137"/>
      <c r="N27" s="137"/>
      <c r="O27" s="137"/>
      <c r="P27" s="137"/>
      <c r="Q27" s="137"/>
      <c r="R27" s="138"/>
    </row>
    <row r="28" spans="1:18" x14ac:dyDescent="0.2">
      <c r="A28" s="90" t="s">
        <v>78</v>
      </c>
      <c r="B28" s="51">
        <f>COUNTIF(WELLS!F:F,TOTALS!A28)</f>
        <v>4</v>
      </c>
      <c r="L28" s="136"/>
      <c r="M28" s="137"/>
      <c r="N28" s="137"/>
      <c r="O28" s="137"/>
      <c r="P28" s="137"/>
      <c r="Q28" s="137"/>
      <c r="R28" s="138"/>
    </row>
    <row r="29" spans="1:18" x14ac:dyDescent="0.2">
      <c r="A29" s="90" t="s">
        <v>2697</v>
      </c>
      <c r="B29" s="51">
        <f>COUNTIF(WELLS!F:F,TOTALS!A29)</f>
        <v>8</v>
      </c>
      <c r="L29" s="136"/>
      <c r="M29" s="137"/>
      <c r="N29" s="137"/>
      <c r="O29" s="137"/>
      <c r="P29" s="137"/>
      <c r="Q29" s="137"/>
      <c r="R29" s="138"/>
    </row>
    <row r="30" spans="1:18" x14ac:dyDescent="0.2">
      <c r="A30" s="90" t="s">
        <v>438</v>
      </c>
      <c r="B30" s="51">
        <f>COUNTIF(WELLS!F:F,TOTALS!A30)</f>
        <v>2</v>
      </c>
      <c r="L30" s="136"/>
      <c r="M30" s="137"/>
      <c r="N30" s="137"/>
      <c r="O30" s="137"/>
      <c r="P30" s="137"/>
      <c r="Q30" s="137"/>
      <c r="R30" s="138"/>
    </row>
    <row r="31" spans="1:18" x14ac:dyDescent="0.2">
      <c r="A31" s="90" t="s">
        <v>841</v>
      </c>
      <c r="B31" s="51">
        <f>COUNTIF(WELLS!F:F,TOTALS!A31)</f>
        <v>14</v>
      </c>
      <c r="L31" s="136"/>
      <c r="M31" s="137"/>
      <c r="N31" s="137"/>
      <c r="O31" s="137"/>
      <c r="P31" s="137"/>
      <c r="Q31" s="137"/>
      <c r="R31" s="138"/>
    </row>
    <row r="32" spans="1:18" ht="13.5" customHeight="1" thickBot="1" x14ac:dyDescent="0.25">
      <c r="A32" s="90" t="s">
        <v>2892</v>
      </c>
      <c r="B32" s="51">
        <f>COUNTIF(WELLS!F:F,TOTALS!A32)</f>
        <v>1</v>
      </c>
      <c r="L32" s="139"/>
      <c r="M32" s="140"/>
      <c r="N32" s="140"/>
      <c r="O32" s="140"/>
      <c r="P32" s="140"/>
      <c r="Q32" s="140"/>
      <c r="R32" s="141"/>
    </row>
    <row r="33" spans="1:4" x14ac:dyDescent="0.2">
      <c r="A33" s="90" t="s">
        <v>1263</v>
      </c>
      <c r="B33" s="51">
        <f>COUNTIF(WELLS!F:F,TOTALS!A33)</f>
        <v>7</v>
      </c>
    </row>
    <row r="34" spans="1:4" x14ac:dyDescent="0.2">
      <c r="A34" s="90" t="s">
        <v>1276</v>
      </c>
      <c r="B34" s="51">
        <f>COUNTIF(WELLS!F:F,TOTALS!A34)</f>
        <v>3</v>
      </c>
    </row>
    <row r="35" spans="1:4" x14ac:dyDescent="0.2">
      <c r="A35" s="90" t="s">
        <v>127</v>
      </c>
      <c r="B35" s="51">
        <f>COUNTIF(WELLS!F:F,TOTALS!A35)</f>
        <v>8</v>
      </c>
    </row>
    <row r="36" spans="1:4" x14ac:dyDescent="0.2">
      <c r="A36" s="90" t="s">
        <v>7394</v>
      </c>
      <c r="B36" s="51">
        <f>COUNTIF(WELLS!F:F,TOTALS!A36)</f>
        <v>3</v>
      </c>
    </row>
    <row r="37" spans="1:4" x14ac:dyDescent="0.2">
      <c r="A37" s="90" t="s">
        <v>2026</v>
      </c>
      <c r="B37" s="51">
        <f>COUNTIF(WELLS!F:F,TOTALS!A37)</f>
        <v>94</v>
      </c>
      <c r="D37" s="1"/>
    </row>
    <row r="38" spans="1:4" x14ac:dyDescent="0.2">
      <c r="A38" s="90" t="s">
        <v>9182</v>
      </c>
      <c r="B38" s="51">
        <f>COUNTIF(WELLS!F:F,TOTALS!A38)</f>
        <v>1</v>
      </c>
    </row>
    <row r="39" spans="1:4" x14ac:dyDescent="0.2">
      <c r="A39" s="90" t="s">
        <v>241</v>
      </c>
      <c r="B39" s="51">
        <f>COUNTIF(WELLS!F:F,TOTALS!A39)</f>
        <v>9</v>
      </c>
    </row>
    <row r="40" spans="1:4" x14ac:dyDescent="0.2">
      <c r="A40" s="90" t="s">
        <v>162</v>
      </c>
      <c r="B40" s="51">
        <f>COUNTIF(WELLS!F:F,TOTALS!A40)</f>
        <v>8</v>
      </c>
    </row>
    <row r="41" spans="1:4" x14ac:dyDescent="0.2">
      <c r="A41" s="90" t="s">
        <v>12861</v>
      </c>
      <c r="B41" s="51">
        <f>COUNTIF(WELLS!F:F,TOTALS!A41)</f>
        <v>1</v>
      </c>
    </row>
    <row r="42" spans="1:4" x14ac:dyDescent="0.2">
      <c r="A42" s="90" t="s">
        <v>2819</v>
      </c>
      <c r="B42" s="51">
        <f>COUNTIF(WELLS!F:F,TOTALS!A42)</f>
        <v>2</v>
      </c>
    </row>
    <row r="43" spans="1:4" x14ac:dyDescent="0.2">
      <c r="A43" s="90" t="s">
        <v>740</v>
      </c>
      <c r="B43" s="51">
        <f>COUNTIF(WELLS!F:F,TOTALS!A43)</f>
        <v>3</v>
      </c>
    </row>
    <row r="44" spans="1:4" x14ac:dyDescent="0.2">
      <c r="A44" s="90" t="s">
        <v>12846</v>
      </c>
      <c r="B44" s="51">
        <f>COUNTIF(WELLS!F:F,TOTALS!A44)</f>
        <v>1</v>
      </c>
    </row>
    <row r="45" spans="1:4" x14ac:dyDescent="0.2">
      <c r="A45" s="90" t="s">
        <v>290</v>
      </c>
      <c r="B45" s="51">
        <f>COUNTIF(WELLS!F:F,TOTALS!A45)</f>
        <v>20</v>
      </c>
    </row>
    <row r="46" spans="1:4" x14ac:dyDescent="0.2">
      <c r="A46" s="90" t="s">
        <v>5570</v>
      </c>
      <c r="B46" s="51">
        <f>COUNTIF(WELLS!F:F,TOTALS!A46)</f>
        <v>2</v>
      </c>
    </row>
    <row r="47" spans="1:4" x14ac:dyDescent="0.2">
      <c r="A47" s="90" t="s">
        <v>829</v>
      </c>
      <c r="B47" s="51">
        <f>COUNTIF(WELLS!F:F,TOTALS!A47)</f>
        <v>25</v>
      </c>
    </row>
    <row r="48" spans="1:4" x14ac:dyDescent="0.2">
      <c r="A48" s="90" t="s">
        <v>2831</v>
      </c>
      <c r="B48" s="51">
        <f>COUNTIF(WELLS!F:F,TOTALS!A48)</f>
        <v>5</v>
      </c>
    </row>
    <row r="49" spans="1:2" x14ac:dyDescent="0.2">
      <c r="A49" s="90" t="s">
        <v>2744</v>
      </c>
      <c r="B49" s="51">
        <f>COUNTIF(WELLS!F:F,TOTALS!A49)</f>
        <v>3</v>
      </c>
    </row>
    <row r="50" spans="1:2" x14ac:dyDescent="0.2">
      <c r="A50" s="90" t="s">
        <v>175</v>
      </c>
      <c r="B50" s="51">
        <f>COUNTIF(WELLS!F:F,TOTALS!A50)</f>
        <v>6</v>
      </c>
    </row>
    <row r="51" spans="1:2" x14ac:dyDescent="0.2">
      <c r="A51" s="90" t="s">
        <v>665</v>
      </c>
      <c r="B51" s="51">
        <f>COUNTIF(WELLS!F:F,TOTALS!A51)</f>
        <v>6</v>
      </c>
    </row>
    <row r="52" spans="1:2" x14ac:dyDescent="0.2">
      <c r="A52" s="90" t="s">
        <v>2354</v>
      </c>
      <c r="B52" s="51">
        <f>COUNTIF(WELLS!F:F,TOTALS!A52)</f>
        <v>8</v>
      </c>
    </row>
    <row r="53" spans="1:2" x14ac:dyDescent="0.2">
      <c r="A53" s="90" t="s">
        <v>1012</v>
      </c>
      <c r="B53" s="51">
        <f>COUNTIF(WELLS!F:F,TOTALS!A53)</f>
        <v>6</v>
      </c>
    </row>
    <row r="54" spans="1:2" x14ac:dyDescent="0.2">
      <c r="A54" s="90" t="s">
        <v>2576</v>
      </c>
      <c r="B54" s="51">
        <f>COUNTIF(WELLS!F:F,TOTALS!A54)</f>
        <v>3</v>
      </c>
    </row>
    <row r="55" spans="1:2" x14ac:dyDescent="0.2">
      <c r="A55" s="90" t="s">
        <v>804</v>
      </c>
      <c r="B55" s="51">
        <f>COUNTIF(WELLS!F:F,TOTALS!A55)</f>
        <v>3</v>
      </c>
    </row>
    <row r="56" spans="1:2" x14ac:dyDescent="0.2">
      <c r="A56" s="90" t="s">
        <v>1797</v>
      </c>
      <c r="B56" s="51">
        <f>COUNTIF(WELLS!F:F,TOTALS!A56)</f>
        <v>363</v>
      </c>
    </row>
    <row r="57" spans="1:2" x14ac:dyDescent="0.2">
      <c r="A57" s="90" t="s">
        <v>15823</v>
      </c>
      <c r="B57" s="51">
        <f>COUNTIF(WELLS!F:F,TOTALS!A57)</f>
        <v>2</v>
      </c>
    </row>
    <row r="58" spans="1:2" x14ac:dyDescent="0.2">
      <c r="A58" s="91" t="s">
        <v>8522</v>
      </c>
      <c r="B58" s="51">
        <f>COUNTIF(WELLS!F:F,TOTALS!A58)</f>
        <v>0</v>
      </c>
    </row>
    <row r="59" spans="1:2" x14ac:dyDescent="0.2">
      <c r="A59" s="90" t="s">
        <v>5412</v>
      </c>
      <c r="B59" s="51">
        <f>COUNTIF(WELLS!F:F,TOTALS!A59)</f>
        <v>2</v>
      </c>
    </row>
    <row r="60" spans="1:2" x14ac:dyDescent="0.2">
      <c r="A60" s="90" t="s">
        <v>3006</v>
      </c>
      <c r="B60" s="51">
        <f>COUNTIF(WELLS!F:F,TOTALS!A60)</f>
        <v>5</v>
      </c>
    </row>
    <row r="61" spans="1:2" x14ac:dyDescent="0.2">
      <c r="A61" s="91" t="s">
        <v>16898</v>
      </c>
      <c r="B61" s="51">
        <f>COUNTIF(WELLS!F:F,TOTALS!A61)</f>
        <v>0</v>
      </c>
    </row>
    <row r="62" spans="1:2" x14ac:dyDescent="0.2">
      <c r="A62" s="90" t="s">
        <v>634</v>
      </c>
      <c r="B62" s="51">
        <f>COUNTIF(WELLS!F:F,TOTALS!A62)</f>
        <v>11</v>
      </c>
    </row>
    <row r="63" spans="1:2" x14ac:dyDescent="0.2">
      <c r="A63" s="90" t="s">
        <v>1151</v>
      </c>
      <c r="B63" s="51">
        <f>COUNTIF(WELLS!F:F,TOTALS!A63)</f>
        <v>14</v>
      </c>
    </row>
    <row r="64" spans="1:2" x14ac:dyDescent="0.2">
      <c r="A64" s="90" t="s">
        <v>8377</v>
      </c>
      <c r="B64" s="51">
        <f>COUNTIF(WELLS!F:F,TOTALS!A64)</f>
        <v>3</v>
      </c>
    </row>
    <row r="65" spans="1:2" x14ac:dyDescent="0.2">
      <c r="A65" s="90" t="s">
        <v>327</v>
      </c>
      <c r="B65" s="51">
        <f>COUNTIF(WELLS!F:F,TOTALS!A65)</f>
        <v>5</v>
      </c>
    </row>
    <row r="66" spans="1:2" x14ac:dyDescent="0.2">
      <c r="A66" s="90" t="s">
        <v>8909</v>
      </c>
      <c r="B66" s="51">
        <f>COUNTIF(WELLS!F:F,TOTALS!A66)</f>
        <v>3</v>
      </c>
    </row>
    <row r="67" spans="1:2" x14ac:dyDescent="0.2">
      <c r="A67" s="90" t="s">
        <v>314</v>
      </c>
      <c r="B67" s="51">
        <f>COUNTIF(WELLS!F:F,TOTALS!A67)</f>
        <v>30</v>
      </c>
    </row>
    <row r="68" spans="1:2" x14ac:dyDescent="0.2">
      <c r="A68" s="94" t="s">
        <v>971</v>
      </c>
      <c r="B68" s="95">
        <f>COUNTIF(WELLS!F:F,TOTALS!A68)</f>
        <v>10</v>
      </c>
    </row>
  </sheetData>
  <mergeCells count="3">
    <mergeCell ref="G14:H14"/>
    <mergeCell ref="G15:H15"/>
    <mergeCell ref="L22:R32"/>
  </mergeCells>
  <conditionalFormatting sqref="G2:G6">
    <cfRule type="cellIs" dxfId="7" priority="2" stopIfTrue="1" operator="equal">
      <formula>"TA"</formula>
    </cfRule>
    <cfRule type="cellIs" dxfId="6" priority="3" stopIfTrue="1" operator="equal">
      <formula>"INJ"</formula>
    </cfRule>
    <cfRule type="cellIs" dxfId="5" priority="4" stopIfTrue="1" operator="equal">
      <formula>"SWD"</formula>
    </cfRule>
    <cfRule type="cellIs" dxfId="4" priority="5" stopIfTrue="1" operator="equal">
      <formula>"PROD"</formula>
    </cfRule>
  </conditionalFormatting>
  <conditionalFormatting sqref="I6:J10 J5 I2:J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987" yWindow="476" count="1">
    <dataValidation type="list" showInputMessage="1" showErrorMessage="1" promptTitle="County Selection" prompt="Select a county from the dropdown list by clicking on the arrow" sqref="G15:H15" xr:uid="{00000000-0002-0000-0200-000000000000}">
      <formula1>$A$2:$A$68</formula1>
    </dataValidation>
  </dataValidation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C55"/>
  <sheetViews>
    <sheetView showGridLines="0" workbookViewId="0">
      <selection activeCell="C18" sqref="C18"/>
    </sheetView>
  </sheetViews>
  <sheetFormatPr defaultRowHeight="12.75" x14ac:dyDescent="0.2"/>
  <cols>
    <col min="1" max="1" width="24.7109375" customWidth="1"/>
    <col min="2" max="2" width="55.5703125" bestFit="1" customWidth="1"/>
  </cols>
  <sheetData>
    <row r="1" spans="1:3" ht="18.75" customHeight="1" x14ac:dyDescent="0.3">
      <c r="A1" s="6" t="s">
        <v>16899</v>
      </c>
      <c r="B1" s="7" t="s">
        <v>16900</v>
      </c>
      <c r="C1" s="6"/>
    </row>
    <row r="2" spans="1:3" x14ac:dyDescent="0.2">
      <c r="A2" s="8" t="s">
        <v>16901</v>
      </c>
      <c r="B2" s="8" t="s">
        <v>16902</v>
      </c>
      <c r="C2" s="8"/>
    </row>
    <row r="3" spans="1:3" x14ac:dyDescent="0.2">
      <c r="A3" s="8" t="s">
        <v>16903</v>
      </c>
      <c r="B3" s="8" t="s">
        <v>16904</v>
      </c>
      <c r="C3" s="8"/>
    </row>
    <row r="4" spans="1:3" x14ac:dyDescent="0.2">
      <c r="A4" s="8" t="s">
        <v>16905</v>
      </c>
      <c r="B4" s="8" t="s">
        <v>16906</v>
      </c>
      <c r="C4" s="8"/>
    </row>
    <row r="5" spans="1:3" x14ac:dyDescent="0.2">
      <c r="A5" s="8" t="s">
        <v>16907</v>
      </c>
      <c r="B5" s="8" t="s">
        <v>16908</v>
      </c>
      <c r="C5" s="8"/>
    </row>
    <row r="6" spans="1:3" x14ac:dyDescent="0.2">
      <c r="A6" s="8" t="s">
        <v>9129</v>
      </c>
      <c r="B6" s="8" t="s">
        <v>16909</v>
      </c>
      <c r="C6" s="8"/>
    </row>
    <row r="7" spans="1:3" x14ac:dyDescent="0.2">
      <c r="A7" s="8" t="s">
        <v>16910</v>
      </c>
      <c r="B7" s="8" t="s">
        <v>16911</v>
      </c>
      <c r="C7" s="8"/>
    </row>
    <row r="8" spans="1:3" x14ac:dyDescent="0.2">
      <c r="A8" s="8" t="s">
        <v>16912</v>
      </c>
      <c r="B8" s="8" t="s">
        <v>16913</v>
      </c>
      <c r="C8" s="8"/>
    </row>
    <row r="9" spans="1:3" x14ac:dyDescent="0.2">
      <c r="A9" s="8" t="s">
        <v>16914</v>
      </c>
      <c r="B9" s="8" t="s">
        <v>16915</v>
      </c>
      <c r="C9" s="8"/>
    </row>
    <row r="10" spans="1:3" x14ac:dyDescent="0.2">
      <c r="A10" s="8" t="s">
        <v>14636</v>
      </c>
      <c r="B10" s="8" t="s">
        <v>16916</v>
      </c>
      <c r="C10" s="8"/>
    </row>
    <row r="11" spans="1:3" x14ac:dyDescent="0.2">
      <c r="A11" s="8" t="s">
        <v>16917</v>
      </c>
      <c r="B11" s="8" t="s">
        <v>16918</v>
      </c>
      <c r="C11" s="8"/>
    </row>
    <row r="12" spans="1:3" x14ac:dyDescent="0.2">
      <c r="A12" s="8" t="s">
        <v>16919</v>
      </c>
      <c r="B12" s="8" t="s">
        <v>16920</v>
      </c>
      <c r="C12" s="8"/>
    </row>
    <row r="13" spans="1:3" x14ac:dyDescent="0.2">
      <c r="A13" s="8" t="s">
        <v>16921</v>
      </c>
      <c r="B13" s="8" t="s">
        <v>16922</v>
      </c>
      <c r="C13" s="8"/>
    </row>
    <row r="14" spans="1:3" x14ac:dyDescent="0.2">
      <c r="A14" s="8" t="s">
        <v>16923</v>
      </c>
      <c r="B14" s="8" t="s">
        <v>16924</v>
      </c>
      <c r="C14" s="8"/>
    </row>
    <row r="15" spans="1:3" x14ac:dyDescent="0.2">
      <c r="A15" s="8" t="s">
        <v>16925</v>
      </c>
      <c r="B15" s="8" t="s">
        <v>16926</v>
      </c>
      <c r="C15" s="8"/>
    </row>
    <row r="16" spans="1:3" x14ac:dyDescent="0.2">
      <c r="A16" s="8" t="s">
        <v>16927</v>
      </c>
      <c r="B16" s="8" t="s">
        <v>16928</v>
      </c>
      <c r="C16" s="8"/>
    </row>
    <row r="17" spans="1:3" x14ac:dyDescent="0.2">
      <c r="A17" s="8" t="s">
        <v>16929</v>
      </c>
      <c r="B17" s="8" t="s">
        <v>16926</v>
      </c>
      <c r="C17" s="8"/>
    </row>
    <row r="18" spans="1:3" x14ac:dyDescent="0.2">
      <c r="A18" s="8" t="s">
        <v>16930</v>
      </c>
      <c r="B18" s="8" t="s">
        <v>16931</v>
      </c>
      <c r="C18" s="8"/>
    </row>
    <row r="19" spans="1:3" x14ac:dyDescent="0.2">
      <c r="A19" s="8" t="s">
        <v>16932</v>
      </c>
      <c r="B19" s="8" t="s">
        <v>16933</v>
      </c>
      <c r="C19" s="8"/>
    </row>
    <row r="20" spans="1:3" x14ac:dyDescent="0.2">
      <c r="A20" s="8" t="s">
        <v>16934</v>
      </c>
      <c r="B20" s="8" t="s">
        <v>16935</v>
      </c>
      <c r="C20" s="8"/>
    </row>
    <row r="21" spans="1:3" x14ac:dyDescent="0.2">
      <c r="A21" s="8" t="s">
        <v>4802</v>
      </c>
      <c r="B21" s="8" t="s">
        <v>16936</v>
      </c>
      <c r="C21" s="8"/>
    </row>
    <row r="22" spans="1:3" x14ac:dyDescent="0.2">
      <c r="A22" s="8" t="s">
        <v>16937</v>
      </c>
      <c r="B22" s="8" t="s">
        <v>16938</v>
      </c>
      <c r="C22" s="8"/>
    </row>
    <row r="23" spans="1:3" x14ac:dyDescent="0.2">
      <c r="A23" s="8" t="s">
        <v>16939</v>
      </c>
      <c r="B23" s="8" t="s">
        <v>16940</v>
      </c>
      <c r="C23" s="8"/>
    </row>
    <row r="24" spans="1:3" x14ac:dyDescent="0.2">
      <c r="A24" s="8" t="s">
        <v>16941</v>
      </c>
      <c r="B24" s="8" t="s">
        <v>16942</v>
      </c>
      <c r="C24" s="8"/>
    </row>
    <row r="25" spans="1:3" x14ac:dyDescent="0.2">
      <c r="A25" s="8" t="s">
        <v>16943</v>
      </c>
      <c r="B25" s="8" t="s">
        <v>16944</v>
      </c>
      <c r="C25" s="8"/>
    </row>
    <row r="26" spans="1:3" x14ac:dyDescent="0.2">
      <c r="A26" s="8" t="s">
        <v>16945</v>
      </c>
      <c r="B26" s="8" t="s">
        <v>16946</v>
      </c>
      <c r="C26" s="8"/>
    </row>
    <row r="27" spans="1:3" x14ac:dyDescent="0.2">
      <c r="A27" s="8" t="s">
        <v>16947</v>
      </c>
      <c r="B27" s="8" t="s">
        <v>16948</v>
      </c>
      <c r="C27" s="8"/>
    </row>
    <row r="28" spans="1:3" x14ac:dyDescent="0.2">
      <c r="A28" s="8" t="s">
        <v>16949</v>
      </c>
      <c r="B28" s="8" t="s">
        <v>16950</v>
      </c>
      <c r="C28" s="8"/>
    </row>
    <row r="29" spans="1:3" x14ac:dyDescent="0.2">
      <c r="A29" s="8" t="s">
        <v>16951</v>
      </c>
      <c r="B29" s="8" t="s">
        <v>16952</v>
      </c>
      <c r="C29" s="8"/>
    </row>
    <row r="30" spans="1:3" x14ac:dyDescent="0.2">
      <c r="A30" s="8" t="s">
        <v>16953</v>
      </c>
      <c r="B30" s="8" t="s">
        <v>16954</v>
      </c>
      <c r="C30" s="8"/>
    </row>
    <row r="31" spans="1:3" x14ac:dyDescent="0.2">
      <c r="A31" s="8" t="s">
        <v>16955</v>
      </c>
      <c r="B31" s="8" t="s">
        <v>16956</v>
      </c>
      <c r="C31" s="8"/>
    </row>
    <row r="32" spans="1:3" x14ac:dyDescent="0.2">
      <c r="A32" s="8" t="s">
        <v>16957</v>
      </c>
      <c r="B32" s="8" t="s">
        <v>16958</v>
      </c>
      <c r="C32" s="8"/>
    </row>
    <row r="33" spans="1:3" x14ac:dyDescent="0.2">
      <c r="A33" s="8" t="s">
        <v>16959</v>
      </c>
      <c r="B33" s="8" t="s">
        <v>16960</v>
      </c>
      <c r="C33" s="8"/>
    </row>
    <row r="34" spans="1:3" x14ac:dyDescent="0.2">
      <c r="A34" s="8" t="s">
        <v>16961</v>
      </c>
      <c r="B34" s="8" t="s">
        <v>16962</v>
      </c>
      <c r="C34" s="8"/>
    </row>
    <row r="35" spans="1:3" x14ac:dyDescent="0.2">
      <c r="A35" s="8" t="s">
        <v>3193</v>
      </c>
      <c r="B35" s="8" t="s">
        <v>16963</v>
      </c>
      <c r="C35" s="8"/>
    </row>
    <row r="36" spans="1:3" x14ac:dyDescent="0.2">
      <c r="A36" s="8" t="s">
        <v>3956</v>
      </c>
      <c r="B36" s="8" t="s">
        <v>16964</v>
      </c>
      <c r="C36" s="8"/>
    </row>
    <row r="37" spans="1:3" x14ac:dyDescent="0.2">
      <c r="A37" s="8" t="s">
        <v>4582</v>
      </c>
      <c r="B37" s="8" t="s">
        <v>16965</v>
      </c>
      <c r="C37" s="8"/>
    </row>
    <row r="38" spans="1:3" x14ac:dyDescent="0.2">
      <c r="A38" s="8" t="s">
        <v>16966</v>
      </c>
      <c r="B38" s="8" t="s">
        <v>16967</v>
      </c>
      <c r="C38" s="8"/>
    </row>
    <row r="39" spans="1:3" x14ac:dyDescent="0.2">
      <c r="A39" s="8" t="s">
        <v>16968</v>
      </c>
      <c r="B39" s="8" t="s">
        <v>16969</v>
      </c>
      <c r="C39" s="8"/>
    </row>
    <row r="40" spans="1:3" x14ac:dyDescent="0.2">
      <c r="A40" s="8" t="s">
        <v>16970</v>
      </c>
      <c r="B40" s="8" t="s">
        <v>16969</v>
      </c>
      <c r="C40" s="8"/>
    </row>
    <row r="41" spans="1:3" x14ac:dyDescent="0.2">
      <c r="A41" s="8" t="s">
        <v>15411</v>
      </c>
      <c r="B41" s="8" t="s">
        <v>16971</v>
      </c>
      <c r="C41" s="8"/>
    </row>
    <row r="42" spans="1:3" x14ac:dyDescent="0.2">
      <c r="A42" s="8" t="s">
        <v>16972</v>
      </c>
      <c r="B42" s="8" t="s">
        <v>16973</v>
      </c>
      <c r="C42" s="8"/>
    </row>
    <row r="43" spans="1:3" x14ac:dyDescent="0.2">
      <c r="A43" s="8" t="s">
        <v>16974</v>
      </c>
      <c r="B43" s="8" t="s">
        <v>16975</v>
      </c>
      <c r="C43" s="8"/>
    </row>
    <row r="44" spans="1:3" x14ac:dyDescent="0.2">
      <c r="A44" s="8" t="s">
        <v>16976</v>
      </c>
      <c r="B44" s="8" t="s">
        <v>16977</v>
      </c>
      <c r="C44" s="8"/>
    </row>
    <row r="45" spans="1:3" x14ac:dyDescent="0.2">
      <c r="A45" s="8" t="s">
        <v>16978</v>
      </c>
      <c r="B45" s="8" t="s">
        <v>16979</v>
      </c>
      <c r="C45" s="8"/>
    </row>
    <row r="46" spans="1:3" x14ac:dyDescent="0.2">
      <c r="A46" s="8" t="s">
        <v>16980</v>
      </c>
      <c r="B46" s="8" t="s">
        <v>16981</v>
      </c>
      <c r="C46" s="8"/>
    </row>
    <row r="47" spans="1:3" x14ac:dyDescent="0.2">
      <c r="A47" s="8" t="s">
        <v>16982</v>
      </c>
      <c r="B47" s="8" t="s">
        <v>16983</v>
      </c>
      <c r="C47" s="8"/>
    </row>
    <row r="48" spans="1:3" x14ac:dyDescent="0.2">
      <c r="A48" s="8" t="s">
        <v>16984</v>
      </c>
      <c r="B48" s="8" t="s">
        <v>16985</v>
      </c>
      <c r="C48" s="8"/>
    </row>
    <row r="49" spans="1:3" x14ac:dyDescent="0.2">
      <c r="A49" s="8" t="s">
        <v>16986</v>
      </c>
      <c r="B49" s="8" t="s">
        <v>16987</v>
      </c>
      <c r="C49" s="8"/>
    </row>
    <row r="50" spans="1:3" x14ac:dyDescent="0.2">
      <c r="A50" s="8" t="s">
        <v>193</v>
      </c>
      <c r="B50" s="8" t="s">
        <v>16988</v>
      </c>
      <c r="C50" s="8"/>
    </row>
    <row r="51" spans="1:3" x14ac:dyDescent="0.2">
      <c r="A51" s="8" t="s">
        <v>16989</v>
      </c>
      <c r="B51" s="8" t="s">
        <v>16990</v>
      </c>
      <c r="C51" s="8"/>
    </row>
    <row r="52" spans="1:3" x14ac:dyDescent="0.2">
      <c r="A52" s="8" t="s">
        <v>16991</v>
      </c>
      <c r="B52" s="63" t="s">
        <v>16992</v>
      </c>
      <c r="C52" s="8"/>
    </row>
    <row r="53" spans="1:3" x14ac:dyDescent="0.2">
      <c r="A53" s="8" t="s">
        <v>6</v>
      </c>
      <c r="B53" s="8" t="s">
        <v>16993</v>
      </c>
      <c r="C53" s="8"/>
    </row>
    <row r="54" spans="1:3" x14ac:dyDescent="0.2">
      <c r="A54" s="8" t="s">
        <v>16994</v>
      </c>
      <c r="B54" s="8" t="s">
        <v>16915</v>
      </c>
      <c r="C54" s="8"/>
    </row>
    <row r="55" spans="1:3" x14ac:dyDescent="0.2">
      <c r="A55" s="8" t="s">
        <v>16995</v>
      </c>
      <c r="B55" s="8" t="s">
        <v>16996</v>
      </c>
      <c r="C55" s="8"/>
    </row>
  </sheetData>
  <pageMargins left="0.75" right="0.75" top="0.27" bottom="0.32" header="0.24" footer="0.26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BC59"/>
  <sheetViews>
    <sheetView showGridLines="0" topLeftCell="S1" zoomScale="90" zoomScaleNormal="90" workbookViewId="0">
      <selection activeCell="AA2" sqref="AA2"/>
    </sheetView>
  </sheetViews>
  <sheetFormatPr defaultRowHeight="12.75" x14ac:dyDescent="0.2"/>
  <cols>
    <col min="1" max="1" width="25" bestFit="1" customWidth="1"/>
    <col min="2" max="2" width="22.28515625" bestFit="1" customWidth="1"/>
    <col min="3" max="3" width="20.85546875" customWidth="1"/>
    <col min="4" max="4" width="18.5703125" bestFit="1" customWidth="1"/>
    <col min="5" max="5" width="12.7109375" bestFit="1" customWidth="1"/>
    <col min="6" max="6" width="13.5703125" customWidth="1"/>
    <col min="7" max="7" width="13.5703125" bestFit="1" customWidth="1"/>
    <col min="8" max="8" width="16.28515625" bestFit="1" customWidth="1"/>
    <col min="9" max="9" width="12.28515625" bestFit="1" customWidth="1"/>
    <col min="10" max="10" width="16.28515625" bestFit="1" customWidth="1"/>
    <col min="11" max="11" width="21.5703125" customWidth="1"/>
    <col min="12" max="12" width="20.28515625" customWidth="1"/>
    <col min="13" max="13" width="12.140625" bestFit="1" customWidth="1"/>
    <col min="14" max="14" width="8.85546875" bestFit="1" customWidth="1"/>
    <col min="15" max="15" width="13.5703125" bestFit="1" customWidth="1"/>
    <col min="16" max="16" width="17.7109375" customWidth="1"/>
    <col min="17" max="17" width="15" customWidth="1"/>
    <col min="18" max="18" width="18.28515625" bestFit="1" customWidth="1"/>
    <col min="19" max="20" width="16.28515625" bestFit="1" customWidth="1"/>
    <col min="21" max="22" width="18.7109375" customWidth="1"/>
    <col min="23" max="24" width="12.7109375" bestFit="1" customWidth="1"/>
    <col min="25" max="25" width="28" customWidth="1"/>
    <col min="26" max="32" width="16.28515625" bestFit="1" customWidth="1"/>
    <col min="33" max="33" width="13.140625" bestFit="1" customWidth="1"/>
    <col min="34" max="34" width="11.5703125" bestFit="1" customWidth="1"/>
    <col min="35" max="35" width="13.7109375" bestFit="1" customWidth="1"/>
    <col min="36" max="37" width="13.140625" bestFit="1" customWidth="1"/>
    <col min="38" max="38" width="10" bestFit="1" customWidth="1"/>
    <col min="39" max="39" width="11.7109375" bestFit="1" customWidth="1"/>
    <col min="40" max="40" width="18.85546875" customWidth="1"/>
    <col min="41" max="41" width="13.28515625" bestFit="1" customWidth="1"/>
    <col min="42" max="43" width="11.85546875" bestFit="1" customWidth="1"/>
    <col min="44" max="44" width="15.5703125" bestFit="1" customWidth="1"/>
    <col min="45" max="45" width="27.42578125" bestFit="1" customWidth="1"/>
    <col min="47" max="47" width="13.140625" bestFit="1" customWidth="1"/>
    <col min="48" max="48" width="15" customWidth="1"/>
    <col min="49" max="49" width="17.5703125" bestFit="1" customWidth="1"/>
    <col min="50" max="50" width="12.140625" customWidth="1"/>
    <col min="51" max="51" width="14.7109375" bestFit="1" customWidth="1"/>
  </cols>
  <sheetData>
    <row r="1" spans="1:55" s="4" customFormat="1" ht="20.25" customHeight="1" thickBot="1" x14ac:dyDescent="0.25">
      <c r="A1" s="77" t="s">
        <v>11</v>
      </c>
      <c r="B1" s="10" t="s">
        <v>30</v>
      </c>
      <c r="C1" s="10" t="s">
        <v>31</v>
      </c>
      <c r="D1" s="10" t="s">
        <v>32</v>
      </c>
      <c r="E1" s="10" t="s">
        <v>33</v>
      </c>
      <c r="F1" s="10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18" t="s">
        <v>39</v>
      </c>
      <c r="L1" s="16" t="s">
        <v>40</v>
      </c>
      <c r="M1" s="16" t="s">
        <v>41</v>
      </c>
      <c r="N1" s="18" t="s">
        <v>42</v>
      </c>
      <c r="O1" s="16" t="s">
        <v>43</v>
      </c>
      <c r="P1" s="18" t="s">
        <v>44</v>
      </c>
      <c r="Q1" s="18" t="s">
        <v>45</v>
      </c>
      <c r="R1" s="18" t="s">
        <v>46</v>
      </c>
      <c r="S1" s="12" t="s">
        <v>47</v>
      </c>
      <c r="T1" s="12" t="s">
        <v>48</v>
      </c>
      <c r="U1" s="18" t="s">
        <v>49</v>
      </c>
      <c r="V1" s="18" t="s">
        <v>50</v>
      </c>
      <c r="W1" s="18" t="s">
        <v>17</v>
      </c>
      <c r="X1" s="18" t="s">
        <v>19</v>
      </c>
      <c r="Y1" s="18" t="s">
        <v>51</v>
      </c>
      <c r="Z1" s="16" t="s">
        <v>52</v>
      </c>
      <c r="AA1" s="22" t="s">
        <v>53</v>
      </c>
      <c r="AB1" s="22" t="s">
        <v>54</v>
      </c>
      <c r="AC1" s="10" t="s">
        <v>55</v>
      </c>
      <c r="AD1" s="22" t="s">
        <v>56</v>
      </c>
      <c r="AE1" s="18" t="s">
        <v>6</v>
      </c>
      <c r="AF1" s="18" t="s">
        <v>8</v>
      </c>
      <c r="AG1" s="18" t="s">
        <v>57</v>
      </c>
      <c r="AH1" s="18" t="s">
        <v>58</v>
      </c>
      <c r="AI1" s="18" t="s">
        <v>59</v>
      </c>
      <c r="AJ1" s="18" t="s">
        <v>60</v>
      </c>
      <c r="AK1" s="18" t="s">
        <v>61</v>
      </c>
      <c r="AL1" s="18" t="s">
        <v>62</v>
      </c>
      <c r="AM1" s="18" t="s">
        <v>63</v>
      </c>
      <c r="AN1" s="18" t="s">
        <v>64</v>
      </c>
      <c r="AO1" s="18" t="s">
        <v>65</v>
      </c>
      <c r="AP1" s="18" t="s">
        <v>66</v>
      </c>
      <c r="AQ1" s="18" t="s">
        <v>67</v>
      </c>
      <c r="AR1" s="18" t="s">
        <v>68</v>
      </c>
      <c r="AS1" s="18" t="s">
        <v>69</v>
      </c>
      <c r="AT1" s="18" t="s">
        <v>70</v>
      </c>
      <c r="AU1" s="18" t="s">
        <v>71</v>
      </c>
      <c r="AV1" s="3" t="s">
        <v>72</v>
      </c>
      <c r="AW1" s="18" t="s">
        <v>73</v>
      </c>
      <c r="AX1" s="10" t="s">
        <v>74</v>
      </c>
      <c r="AY1" s="3" t="s">
        <v>75</v>
      </c>
    </row>
    <row r="2" spans="1:55" s="59" customFormat="1" ht="216" customHeight="1" thickTop="1" thickBot="1" x14ac:dyDescent="0.25">
      <c r="A2" s="78" t="s">
        <v>16997</v>
      </c>
      <c r="B2" s="76" t="s">
        <v>16998</v>
      </c>
      <c r="C2" s="76" t="s">
        <v>16999</v>
      </c>
      <c r="D2" s="76" t="s">
        <v>17000</v>
      </c>
      <c r="E2" s="76" t="s">
        <v>17001</v>
      </c>
      <c r="F2" s="76" t="s">
        <v>17002</v>
      </c>
      <c r="G2" s="76" t="s">
        <v>17003</v>
      </c>
      <c r="H2" s="76" t="s">
        <v>17004</v>
      </c>
      <c r="I2" s="76" t="s">
        <v>17005</v>
      </c>
      <c r="J2" s="76" t="s">
        <v>17006</v>
      </c>
      <c r="K2" s="76" t="s">
        <v>17007</v>
      </c>
      <c r="L2" s="76" t="s">
        <v>17008</v>
      </c>
      <c r="M2" s="76" t="s">
        <v>17009</v>
      </c>
      <c r="N2" s="76"/>
      <c r="O2" s="76" t="s">
        <v>17010</v>
      </c>
      <c r="P2" s="76" t="s">
        <v>17011</v>
      </c>
      <c r="Q2" s="76" t="s">
        <v>17012</v>
      </c>
      <c r="R2" s="76" t="s">
        <v>17013</v>
      </c>
      <c r="S2" s="76"/>
      <c r="T2" s="76"/>
      <c r="U2" s="76" t="s">
        <v>17014</v>
      </c>
      <c r="V2" s="76" t="s">
        <v>17015</v>
      </c>
      <c r="W2" s="76" t="s">
        <v>17016</v>
      </c>
      <c r="X2" s="76" t="s">
        <v>17017</v>
      </c>
      <c r="Y2" s="76" t="s">
        <v>17018</v>
      </c>
      <c r="Z2" s="76" t="s">
        <v>17019</v>
      </c>
      <c r="AA2" s="76" t="s">
        <v>17020</v>
      </c>
      <c r="AB2" s="76" t="s">
        <v>17021</v>
      </c>
      <c r="AC2" s="76" t="s">
        <v>17022</v>
      </c>
      <c r="AD2" s="76" t="s">
        <v>17023</v>
      </c>
      <c r="AE2" s="76" t="s">
        <v>17024</v>
      </c>
      <c r="AF2" s="76" t="s">
        <v>17025</v>
      </c>
      <c r="AG2" s="76" t="s">
        <v>17026</v>
      </c>
      <c r="AH2" s="76" t="s">
        <v>17027</v>
      </c>
      <c r="AI2" s="76" t="s">
        <v>17028</v>
      </c>
      <c r="AJ2" s="76" t="s">
        <v>17029</v>
      </c>
      <c r="AK2" s="76" t="s">
        <v>17029</v>
      </c>
      <c r="AL2" s="76" t="s">
        <v>17030</v>
      </c>
      <c r="AM2" s="76" t="s">
        <v>17031</v>
      </c>
      <c r="AN2" s="76" t="s">
        <v>17032</v>
      </c>
      <c r="AO2" s="76" t="s">
        <v>17033</v>
      </c>
      <c r="AP2" s="76" t="s">
        <v>17034</v>
      </c>
      <c r="AQ2" s="76" t="s">
        <v>17035</v>
      </c>
      <c r="AR2" s="76" t="s">
        <v>17036</v>
      </c>
      <c r="AS2" s="76" t="s">
        <v>17037</v>
      </c>
      <c r="AT2" s="76" t="s">
        <v>17038</v>
      </c>
      <c r="AU2" s="76" t="s">
        <v>17039</v>
      </c>
      <c r="AV2" s="76" t="s">
        <v>17040</v>
      </c>
      <c r="AW2" s="76" t="s">
        <v>17041</v>
      </c>
      <c r="AX2" s="76" t="s">
        <v>17042</v>
      </c>
      <c r="AY2" s="76" t="s">
        <v>17043</v>
      </c>
      <c r="AZ2" s="58"/>
      <c r="BA2" s="58"/>
      <c r="BB2" s="58"/>
      <c r="BC2" s="58"/>
    </row>
    <row r="3" spans="1:55" s="14" customFormat="1" ht="122.25" customHeight="1" thickTop="1" thickBot="1" x14ac:dyDescent="0.25">
      <c r="A3" s="77" t="s">
        <v>17044</v>
      </c>
      <c r="B3" s="42" t="s">
        <v>17045</v>
      </c>
      <c r="C3" s="42" t="s">
        <v>17046</v>
      </c>
      <c r="D3" s="42" t="s">
        <v>17046</v>
      </c>
      <c r="E3" s="42" t="s">
        <v>17046</v>
      </c>
      <c r="F3" s="42" t="s">
        <v>17046</v>
      </c>
      <c r="G3" s="42" t="s">
        <v>17046</v>
      </c>
      <c r="H3" s="42" t="s">
        <v>17046</v>
      </c>
      <c r="I3" s="42" t="s">
        <v>17046</v>
      </c>
      <c r="J3" s="42" t="s">
        <v>17046</v>
      </c>
      <c r="K3" s="42" t="s">
        <v>17046</v>
      </c>
      <c r="L3" s="42" t="s">
        <v>17046</v>
      </c>
      <c r="M3" s="42" t="s">
        <v>17046</v>
      </c>
      <c r="N3" s="42" t="s">
        <v>17046</v>
      </c>
      <c r="O3" s="42" t="s">
        <v>17046</v>
      </c>
      <c r="P3" s="42" t="s">
        <v>17046</v>
      </c>
      <c r="Q3" s="42" t="s">
        <v>17046</v>
      </c>
      <c r="R3" s="42" t="s">
        <v>17046</v>
      </c>
      <c r="S3" s="42" t="s">
        <v>17045</v>
      </c>
      <c r="T3" s="42" t="s">
        <v>17045</v>
      </c>
      <c r="U3" s="42" t="s">
        <v>17046</v>
      </c>
      <c r="V3" s="42" t="s">
        <v>17046</v>
      </c>
      <c r="W3" s="42" t="s">
        <v>17046</v>
      </c>
      <c r="X3" s="42" t="s">
        <v>17046</v>
      </c>
      <c r="Y3" s="42" t="s">
        <v>17045</v>
      </c>
      <c r="Z3" s="42" t="s">
        <v>17045</v>
      </c>
      <c r="AA3" s="42" t="s">
        <v>17045</v>
      </c>
      <c r="AB3" s="42" t="s">
        <v>17047</v>
      </c>
      <c r="AC3" s="42" t="s">
        <v>17047</v>
      </c>
      <c r="AD3" s="42" t="s">
        <v>17047</v>
      </c>
      <c r="AE3" s="42" t="s">
        <v>17045</v>
      </c>
      <c r="AF3" s="42" t="s">
        <v>17045</v>
      </c>
      <c r="AG3" s="42" t="s">
        <v>17046</v>
      </c>
      <c r="AH3" s="42" t="s">
        <v>17046</v>
      </c>
      <c r="AI3" s="42" t="s">
        <v>17046</v>
      </c>
      <c r="AJ3" s="42" t="s">
        <v>17046</v>
      </c>
      <c r="AK3" s="42" t="s">
        <v>17046</v>
      </c>
      <c r="AL3" s="42" t="s">
        <v>17046</v>
      </c>
      <c r="AM3" s="42" t="s">
        <v>17046</v>
      </c>
      <c r="AN3" s="42" t="s">
        <v>17046</v>
      </c>
      <c r="AO3" s="42" t="s">
        <v>17046</v>
      </c>
      <c r="AP3" s="42" t="s">
        <v>17046</v>
      </c>
      <c r="AQ3" s="42" t="s">
        <v>17046</v>
      </c>
      <c r="AR3" s="42" t="s">
        <v>17046</v>
      </c>
      <c r="AS3" s="42" t="s">
        <v>17046</v>
      </c>
      <c r="AT3" s="42" t="s">
        <v>17046</v>
      </c>
      <c r="AU3" s="42" t="s">
        <v>17046</v>
      </c>
      <c r="AV3" s="42" t="s">
        <v>17046</v>
      </c>
      <c r="AW3" s="42" t="s">
        <v>17046</v>
      </c>
      <c r="AX3" s="42" t="s">
        <v>17045</v>
      </c>
      <c r="AY3" s="42" t="s">
        <v>17046</v>
      </c>
      <c r="AZ3" s="45"/>
      <c r="BA3" s="45"/>
      <c r="BB3" s="45"/>
      <c r="BC3" s="45"/>
    </row>
    <row r="4" spans="1:55" ht="13.5" customHeight="1" thickTop="1" x14ac:dyDescent="0.2">
      <c r="G4" s="46"/>
      <c r="H4" s="46"/>
      <c r="I4" s="46"/>
      <c r="J4" s="46"/>
      <c r="K4" s="46"/>
      <c r="L4" s="44"/>
      <c r="M4" s="44"/>
      <c r="N4" s="44"/>
      <c r="O4" s="44"/>
      <c r="P4" s="44"/>
      <c r="Q4" s="44"/>
      <c r="R4" s="44"/>
      <c r="S4" s="46"/>
      <c r="T4" s="46"/>
      <c r="U4" s="46"/>
      <c r="V4" s="46"/>
      <c r="W4" s="46"/>
      <c r="X4" s="46"/>
      <c r="Y4" s="46"/>
      <c r="Z4" s="46"/>
      <c r="AA4" s="46"/>
      <c r="AB4" s="46"/>
      <c r="AC4" s="44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Y4" s="46"/>
      <c r="AZ4" s="46"/>
      <c r="BA4" s="46"/>
      <c r="BB4" s="46"/>
      <c r="BC4" s="46"/>
    </row>
    <row r="5" spans="1:55" x14ac:dyDescent="0.2">
      <c r="G5" s="48"/>
      <c r="H5" s="48"/>
      <c r="I5" s="48"/>
      <c r="J5" s="48"/>
      <c r="K5" s="48"/>
      <c r="L5" s="44"/>
      <c r="M5" s="44"/>
      <c r="N5" s="44"/>
      <c r="O5" s="44"/>
      <c r="P5" s="44"/>
      <c r="Q5" s="44"/>
      <c r="R5" s="44"/>
      <c r="S5" s="48"/>
      <c r="T5" s="48"/>
      <c r="U5" s="48"/>
      <c r="V5" s="48"/>
      <c r="W5" s="48"/>
      <c r="X5" s="48"/>
      <c r="Y5" s="48"/>
      <c r="Z5" s="48"/>
      <c r="AA5" s="48"/>
      <c r="AB5" s="48"/>
      <c r="AC5" s="44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Y5" s="48"/>
      <c r="AZ5" s="48"/>
      <c r="BA5" s="48"/>
      <c r="BB5" s="48"/>
      <c r="BC5" s="48"/>
    </row>
    <row r="6" spans="1:55" x14ac:dyDescent="0.2">
      <c r="G6" s="45"/>
      <c r="H6" s="45"/>
      <c r="I6" s="45"/>
      <c r="J6" s="45"/>
      <c r="K6" s="45"/>
      <c r="L6" s="44"/>
      <c r="M6" s="44"/>
      <c r="N6" s="44"/>
      <c r="O6" s="44"/>
      <c r="P6" s="44"/>
      <c r="Q6" s="44"/>
      <c r="R6" s="44"/>
      <c r="S6" s="45"/>
      <c r="T6" s="45"/>
      <c r="U6" s="45"/>
      <c r="V6" s="45"/>
      <c r="W6" s="45"/>
      <c r="X6" s="45"/>
      <c r="Y6" s="45"/>
      <c r="Z6" s="45"/>
      <c r="AA6" s="45"/>
      <c r="AB6" s="45"/>
      <c r="AC6" s="44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Y6" s="45"/>
      <c r="AZ6" s="45"/>
      <c r="BA6" s="45"/>
      <c r="BB6" s="45"/>
      <c r="BC6" s="45"/>
    </row>
    <row r="7" spans="1:55" x14ac:dyDescent="0.2">
      <c r="G7" s="46"/>
      <c r="H7" s="46"/>
      <c r="I7" s="46"/>
      <c r="J7" s="46"/>
      <c r="K7" s="46"/>
      <c r="L7" s="44"/>
      <c r="M7" s="44"/>
      <c r="N7" s="44"/>
      <c r="O7" s="44"/>
      <c r="P7" s="44"/>
      <c r="Q7" s="44"/>
      <c r="R7" s="44"/>
      <c r="S7" s="46"/>
      <c r="T7" s="46"/>
      <c r="U7" s="46"/>
      <c r="V7" s="46"/>
      <c r="W7" s="46"/>
      <c r="X7" s="46"/>
      <c r="Y7" s="46"/>
      <c r="Z7" s="46"/>
      <c r="AA7" s="46"/>
      <c r="AB7" s="46"/>
      <c r="AC7" s="44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Y7" s="46"/>
      <c r="AZ7" s="46"/>
      <c r="BA7" s="46"/>
      <c r="BB7" s="46"/>
      <c r="BC7" s="46"/>
    </row>
    <row r="8" spans="1:55" x14ac:dyDescent="0.2">
      <c r="G8" s="46"/>
      <c r="H8" s="46"/>
      <c r="I8" s="46"/>
      <c r="J8" s="46"/>
      <c r="K8" s="46"/>
      <c r="L8" s="44"/>
      <c r="M8" s="44"/>
      <c r="N8" s="44"/>
      <c r="O8" s="44"/>
      <c r="P8" s="44"/>
      <c r="Q8" s="44"/>
      <c r="R8" s="44"/>
      <c r="S8" s="46"/>
      <c r="T8" s="46"/>
      <c r="U8" s="46"/>
      <c r="V8" s="46"/>
      <c r="W8" s="46"/>
      <c r="X8" s="46"/>
      <c r="Y8" s="46"/>
      <c r="Z8" s="46"/>
      <c r="AA8" s="46"/>
      <c r="AB8" s="46"/>
      <c r="AC8" s="44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Y8" s="46"/>
      <c r="AZ8" s="46"/>
      <c r="BA8" s="46"/>
      <c r="BB8" s="46"/>
      <c r="BC8" s="46"/>
    </row>
    <row r="9" spans="1:55" x14ac:dyDescent="0.2">
      <c r="G9" s="46"/>
      <c r="H9" s="46"/>
      <c r="I9" s="46"/>
      <c r="J9" s="46"/>
      <c r="K9" s="46"/>
      <c r="L9" s="44"/>
      <c r="M9" s="44"/>
      <c r="N9" s="44"/>
      <c r="O9" s="44"/>
      <c r="P9" s="44"/>
      <c r="Q9" s="44"/>
      <c r="R9" s="44"/>
      <c r="S9" s="46"/>
      <c r="T9" s="46"/>
      <c r="U9" s="46"/>
      <c r="V9" s="46"/>
      <c r="W9" s="46"/>
      <c r="X9" s="46"/>
      <c r="Y9" s="46"/>
      <c r="Z9" s="46"/>
      <c r="AA9" s="46"/>
      <c r="AB9" s="46"/>
      <c r="AC9" s="44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Y9" s="46"/>
      <c r="AZ9" s="46"/>
      <c r="BA9" s="46"/>
      <c r="BB9" s="46"/>
      <c r="BC9" s="46"/>
    </row>
    <row r="10" spans="1:55" x14ac:dyDescent="0.2">
      <c r="G10" s="47"/>
      <c r="H10" s="47"/>
      <c r="I10" s="47"/>
      <c r="J10" s="47"/>
      <c r="K10" s="47"/>
      <c r="L10" s="44"/>
      <c r="M10" s="44"/>
      <c r="N10" s="44"/>
      <c r="O10" s="44"/>
      <c r="P10" s="44"/>
      <c r="Q10" s="44"/>
      <c r="R10" s="44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4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Y10" s="47"/>
      <c r="AZ10" s="47"/>
      <c r="BA10" s="47"/>
      <c r="BB10" s="47"/>
      <c r="BC10" s="47"/>
    </row>
    <row r="11" spans="1:55" x14ac:dyDescent="0.2">
      <c r="G11" s="47"/>
      <c r="H11" s="47"/>
      <c r="I11" s="47"/>
      <c r="J11" s="47"/>
      <c r="K11" s="47"/>
      <c r="L11" s="44"/>
      <c r="M11" s="44"/>
      <c r="N11" s="44"/>
      <c r="O11" s="44"/>
      <c r="P11" s="44"/>
      <c r="Q11" s="44"/>
      <c r="R11" s="44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4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Y11" s="47"/>
      <c r="AZ11" s="47"/>
      <c r="BA11" s="47"/>
      <c r="BB11" s="47"/>
      <c r="BC11" s="47"/>
    </row>
    <row r="12" spans="1:55" x14ac:dyDescent="0.2">
      <c r="G12" s="46"/>
      <c r="H12" s="46"/>
      <c r="I12" s="46"/>
      <c r="J12" s="46"/>
      <c r="K12" s="46"/>
      <c r="L12" s="44"/>
      <c r="M12" s="44"/>
      <c r="N12" s="44"/>
      <c r="O12" s="44"/>
      <c r="P12" s="44"/>
      <c r="Q12" s="44"/>
      <c r="R12" s="44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4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Y12" s="46"/>
      <c r="AZ12" s="46"/>
      <c r="BA12" s="46"/>
      <c r="BB12" s="46"/>
      <c r="BC12" s="46"/>
    </row>
    <row r="13" spans="1:55" x14ac:dyDescent="0.2">
      <c r="G13" s="46"/>
      <c r="H13" s="46"/>
      <c r="I13" s="46"/>
      <c r="J13" s="46"/>
      <c r="K13" s="46"/>
      <c r="L13" s="44"/>
      <c r="M13" s="44"/>
      <c r="N13" s="44"/>
      <c r="O13" s="44"/>
      <c r="P13" s="44"/>
      <c r="Q13" s="44"/>
      <c r="R13" s="44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4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Y13" s="46"/>
      <c r="AZ13" s="46"/>
      <c r="BA13" s="46"/>
      <c r="BB13" s="46"/>
      <c r="BC13" s="46"/>
    </row>
    <row r="14" spans="1:55" x14ac:dyDescent="0.2"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Y14" s="44"/>
      <c r="AZ14" s="44"/>
      <c r="BA14" s="44"/>
      <c r="BB14" s="44"/>
      <c r="BC14" s="44"/>
    </row>
    <row r="15" spans="1:55" x14ac:dyDescent="0.2"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Y15" s="44"/>
      <c r="AZ15" s="44"/>
      <c r="BA15" s="44"/>
      <c r="BB15" s="44"/>
      <c r="BC15" s="44"/>
    </row>
    <row r="16" spans="1:55" x14ac:dyDescent="0.2">
      <c r="G16" s="49"/>
      <c r="H16" s="49"/>
      <c r="I16" s="49"/>
      <c r="J16" s="49"/>
      <c r="K16" s="49"/>
      <c r="L16" s="44"/>
      <c r="M16" s="44"/>
      <c r="N16" s="44"/>
      <c r="O16" s="44"/>
      <c r="P16" s="44"/>
      <c r="Q16" s="44"/>
      <c r="R16" s="44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4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Y16" s="49"/>
      <c r="AZ16" s="49"/>
      <c r="BA16" s="49"/>
      <c r="BB16" s="49"/>
      <c r="BC16" s="49"/>
    </row>
    <row r="17" spans="7:55" x14ac:dyDescent="0.2">
      <c r="G17" s="49"/>
      <c r="H17" s="49"/>
      <c r="I17" s="49"/>
      <c r="J17" s="49"/>
      <c r="K17" s="49"/>
      <c r="L17" s="44"/>
      <c r="M17" s="44"/>
      <c r="N17" s="44"/>
      <c r="O17" s="44"/>
      <c r="P17" s="44"/>
      <c r="Q17" s="44"/>
      <c r="R17" s="44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4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Y17" s="49"/>
      <c r="AZ17" s="49"/>
      <c r="BA17" s="49"/>
      <c r="BB17" s="49"/>
      <c r="BC17" s="49"/>
    </row>
    <row r="18" spans="7:55" x14ac:dyDescent="0.2">
      <c r="G18" s="49"/>
      <c r="H18" s="49"/>
      <c r="I18" s="49"/>
      <c r="J18" s="49"/>
      <c r="K18" s="49"/>
      <c r="L18" s="44"/>
      <c r="M18" s="44"/>
      <c r="N18" s="44"/>
      <c r="O18" s="44"/>
      <c r="P18" s="44"/>
      <c r="Q18" s="44"/>
      <c r="R18" s="44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4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Y18" s="49"/>
      <c r="AZ18" s="49"/>
      <c r="BA18" s="49"/>
      <c r="BB18" s="49"/>
      <c r="BC18" s="49"/>
    </row>
    <row r="19" spans="7:55" ht="20.25" customHeight="1" x14ac:dyDescent="0.2">
      <c r="G19" s="49"/>
      <c r="H19" s="49"/>
      <c r="I19" s="49"/>
      <c r="J19" s="49"/>
      <c r="K19" s="49"/>
      <c r="L19" s="44"/>
      <c r="M19" s="44"/>
      <c r="N19" s="44"/>
      <c r="O19" s="44"/>
      <c r="P19" s="44"/>
      <c r="Q19" s="44"/>
      <c r="R19" s="44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4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Y19" s="49"/>
      <c r="AZ19" s="49"/>
      <c r="BA19" s="49"/>
      <c r="BB19" s="49"/>
      <c r="BC19" s="49"/>
    </row>
    <row r="20" spans="7:55" ht="15.75" customHeight="1" x14ac:dyDescent="0.2">
      <c r="G20" s="50"/>
      <c r="H20" s="50"/>
      <c r="I20" s="50"/>
      <c r="J20" s="50"/>
      <c r="K20" s="50"/>
      <c r="L20" s="44"/>
      <c r="M20" s="44"/>
      <c r="N20" s="44"/>
      <c r="O20" s="44"/>
      <c r="P20" s="44"/>
      <c r="Q20" s="44"/>
      <c r="R20" s="44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44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Y20" s="50"/>
      <c r="AZ20" s="50"/>
      <c r="BA20" s="50"/>
      <c r="BB20" s="50"/>
      <c r="BC20" s="50"/>
    </row>
    <row r="21" spans="7:55" x14ac:dyDescent="0.2">
      <c r="G21" s="49"/>
      <c r="H21" s="49"/>
      <c r="I21" s="49"/>
      <c r="J21" s="49"/>
      <c r="K21" s="49"/>
      <c r="L21" s="44"/>
      <c r="M21" s="44"/>
      <c r="N21" s="44"/>
      <c r="O21" s="44"/>
      <c r="P21" s="44"/>
      <c r="Q21" s="44"/>
      <c r="R21" s="44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4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Y21" s="49"/>
      <c r="AZ21" s="49"/>
      <c r="BA21" s="49"/>
      <c r="BB21" s="49"/>
      <c r="BC21" s="49"/>
    </row>
    <row r="22" spans="7:55" x14ac:dyDescent="0.2">
      <c r="G22" s="49"/>
      <c r="H22" s="49"/>
      <c r="I22" s="49"/>
      <c r="J22" s="49"/>
      <c r="K22" s="49"/>
      <c r="L22" s="44"/>
      <c r="M22" s="44"/>
      <c r="N22" s="44"/>
      <c r="O22" s="44"/>
      <c r="P22" s="44"/>
      <c r="Q22" s="44"/>
      <c r="R22" s="44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4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Y22" s="49"/>
      <c r="AZ22" s="49"/>
      <c r="BA22" s="49"/>
      <c r="BB22" s="49"/>
      <c r="BC22" s="49"/>
    </row>
    <row r="23" spans="7:55" x14ac:dyDescent="0.2">
      <c r="G23" s="49"/>
      <c r="H23" s="49"/>
      <c r="I23" s="49"/>
      <c r="J23" s="49"/>
      <c r="K23" s="49"/>
      <c r="L23" s="44"/>
      <c r="M23" s="44"/>
      <c r="N23" s="44"/>
      <c r="O23" s="44"/>
      <c r="P23" s="44"/>
      <c r="Q23" s="44"/>
      <c r="R23" s="44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4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Y23" s="49"/>
      <c r="AZ23" s="49"/>
      <c r="BA23" s="49"/>
      <c r="BB23" s="49"/>
      <c r="BC23" s="49"/>
    </row>
    <row r="24" spans="7:55" x14ac:dyDescent="0.2">
      <c r="G24" s="45"/>
      <c r="H24" s="45"/>
      <c r="I24" s="45"/>
      <c r="J24" s="45"/>
      <c r="K24" s="45"/>
      <c r="L24" s="44"/>
      <c r="M24" s="44"/>
      <c r="N24" s="44"/>
      <c r="O24" s="44"/>
      <c r="P24" s="44"/>
      <c r="Q24" s="44"/>
      <c r="R24" s="44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4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Y24" s="45"/>
      <c r="AZ24" s="45"/>
      <c r="BA24" s="45"/>
      <c r="BB24" s="45"/>
      <c r="BC24" s="45"/>
    </row>
    <row r="25" spans="7:55" x14ac:dyDescent="0.2">
      <c r="G25" s="46"/>
      <c r="H25" s="46"/>
      <c r="I25" s="46"/>
      <c r="J25" s="46"/>
      <c r="K25" s="46"/>
      <c r="L25" s="44"/>
      <c r="M25" s="44"/>
      <c r="N25" s="44"/>
      <c r="O25" s="44"/>
      <c r="P25" s="44"/>
      <c r="Q25" s="44"/>
      <c r="R25" s="44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4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Y25" s="46"/>
      <c r="AZ25" s="46"/>
      <c r="BA25" s="46"/>
      <c r="BB25" s="46"/>
      <c r="BC25" s="46"/>
    </row>
    <row r="26" spans="7:55" x14ac:dyDescent="0.2">
      <c r="G26" s="46"/>
      <c r="H26" s="46"/>
      <c r="I26" s="46"/>
      <c r="J26" s="46"/>
      <c r="K26" s="46"/>
      <c r="L26" s="44"/>
      <c r="M26" s="44"/>
      <c r="N26" s="44"/>
      <c r="O26" s="44"/>
      <c r="P26" s="44"/>
      <c r="Q26" s="44"/>
      <c r="R26" s="44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4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Y26" s="46"/>
      <c r="AZ26" s="46"/>
      <c r="BA26" s="46"/>
      <c r="BB26" s="46"/>
      <c r="BC26" s="46"/>
    </row>
    <row r="27" spans="7:55" x14ac:dyDescent="0.2">
      <c r="G27" s="46"/>
      <c r="H27" s="46"/>
      <c r="I27" s="46"/>
      <c r="J27" s="46"/>
      <c r="K27" s="46"/>
      <c r="L27" s="44"/>
      <c r="M27" s="44"/>
      <c r="N27" s="44"/>
      <c r="O27" s="44"/>
      <c r="P27" s="44"/>
      <c r="Q27" s="44"/>
      <c r="R27" s="44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4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Y27" s="46"/>
      <c r="AZ27" s="46"/>
      <c r="BA27" s="46"/>
      <c r="BB27" s="46"/>
      <c r="BC27" s="46"/>
    </row>
    <row r="28" spans="7:55" x14ac:dyDescent="0.2">
      <c r="G28" s="46"/>
      <c r="H28" s="46"/>
      <c r="I28" s="46"/>
      <c r="J28" s="46"/>
      <c r="K28" s="46"/>
      <c r="L28" s="44"/>
      <c r="M28" s="44"/>
      <c r="N28" s="44"/>
      <c r="O28" s="44"/>
      <c r="P28" s="44"/>
      <c r="Q28" s="44"/>
      <c r="R28" s="44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4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Y28" s="46"/>
      <c r="AZ28" s="46"/>
      <c r="BA28" s="46"/>
      <c r="BB28" s="46"/>
      <c r="BC28" s="46"/>
    </row>
    <row r="29" spans="7:55" x14ac:dyDescent="0.2">
      <c r="G29" s="46"/>
      <c r="H29" s="46"/>
      <c r="I29" s="46"/>
      <c r="J29" s="46"/>
      <c r="K29" s="46"/>
      <c r="L29" s="44"/>
      <c r="M29" s="44"/>
      <c r="N29" s="44"/>
      <c r="O29" s="44"/>
      <c r="P29" s="44"/>
      <c r="Q29" s="44"/>
      <c r="R29" s="44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4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Y29" s="46"/>
      <c r="AZ29" s="46"/>
      <c r="BA29" s="46"/>
      <c r="BB29" s="46"/>
      <c r="BC29" s="46"/>
    </row>
    <row r="30" spans="7:55" x14ac:dyDescent="0.2">
      <c r="G30" s="46"/>
      <c r="H30" s="46"/>
      <c r="I30" s="46"/>
      <c r="J30" s="46"/>
      <c r="K30" s="46"/>
      <c r="L30" s="44"/>
      <c r="M30" s="44"/>
      <c r="N30" s="44"/>
      <c r="O30" s="44"/>
      <c r="P30" s="44"/>
      <c r="Q30" s="44"/>
      <c r="R30" s="44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4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Y30" s="46"/>
      <c r="AZ30" s="46"/>
      <c r="BA30" s="46"/>
      <c r="BB30" s="46"/>
      <c r="BC30" s="46"/>
    </row>
    <row r="31" spans="7:55" x14ac:dyDescent="0.2">
      <c r="G31" s="46"/>
      <c r="H31" s="46"/>
      <c r="I31" s="46"/>
      <c r="J31" s="46"/>
      <c r="K31" s="46"/>
      <c r="L31" s="44"/>
      <c r="M31" s="44"/>
      <c r="N31" s="44"/>
      <c r="O31" s="44"/>
      <c r="P31" s="44"/>
      <c r="Q31" s="44"/>
      <c r="R31" s="44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4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Y31" s="46"/>
      <c r="AZ31" s="46"/>
      <c r="BA31" s="46"/>
      <c r="BB31" s="46"/>
      <c r="BC31" s="46"/>
    </row>
    <row r="32" spans="7:55" x14ac:dyDescent="0.2">
      <c r="G32" s="46"/>
      <c r="H32" s="46"/>
      <c r="I32" s="46"/>
      <c r="J32" s="46"/>
      <c r="K32" s="46"/>
      <c r="L32" s="44"/>
      <c r="M32" s="44"/>
      <c r="N32" s="44"/>
      <c r="O32" s="44"/>
      <c r="P32" s="44"/>
      <c r="Q32" s="44"/>
      <c r="R32" s="44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4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Y32" s="46"/>
      <c r="AZ32" s="46"/>
      <c r="BA32" s="46"/>
      <c r="BB32" s="46"/>
      <c r="BC32" s="46"/>
    </row>
    <row r="33" spans="2:55" x14ac:dyDescent="0.2">
      <c r="G33" s="46"/>
      <c r="H33" s="46"/>
      <c r="I33" s="46"/>
      <c r="J33" s="46"/>
      <c r="K33" s="46"/>
      <c r="L33" s="44"/>
      <c r="M33" s="44"/>
      <c r="N33" s="44"/>
      <c r="O33" s="44"/>
      <c r="P33" s="44"/>
      <c r="Q33" s="44"/>
      <c r="R33" s="44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4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Y33" s="46"/>
      <c r="AZ33" s="46"/>
      <c r="BA33" s="46"/>
      <c r="BB33" s="46"/>
      <c r="BC33" s="46"/>
    </row>
    <row r="34" spans="2:55" x14ac:dyDescent="0.2">
      <c r="G34" s="46"/>
      <c r="H34" s="46"/>
      <c r="I34" s="46"/>
      <c r="J34" s="46"/>
      <c r="K34" s="46"/>
      <c r="L34" s="44"/>
      <c r="M34" s="44"/>
      <c r="N34" s="44"/>
      <c r="O34" s="44"/>
      <c r="P34" s="44"/>
      <c r="Q34" s="44"/>
      <c r="R34" s="44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4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Y34" s="46"/>
      <c r="AZ34" s="46"/>
      <c r="BA34" s="46"/>
      <c r="BB34" s="46"/>
      <c r="BC34" s="46"/>
    </row>
    <row r="35" spans="2:55" x14ac:dyDescent="0.2">
      <c r="G35" s="46"/>
      <c r="H35" s="46"/>
      <c r="I35" s="46"/>
      <c r="J35" s="46"/>
      <c r="K35" s="46"/>
      <c r="L35" s="44"/>
      <c r="M35" s="44"/>
      <c r="N35" s="44"/>
      <c r="O35" s="44"/>
      <c r="P35" s="44"/>
      <c r="Q35" s="44"/>
      <c r="R35" s="44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4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Y35" s="46"/>
      <c r="AZ35" s="46"/>
      <c r="BA35" s="46"/>
      <c r="BB35" s="46"/>
      <c r="BC35" s="46"/>
    </row>
    <row r="36" spans="2:55" x14ac:dyDescent="0.2">
      <c r="G36" s="46"/>
      <c r="H36" s="46"/>
      <c r="I36" s="46"/>
      <c r="J36" s="46"/>
      <c r="K36" s="46"/>
      <c r="L36" s="44"/>
      <c r="M36" s="44"/>
      <c r="N36" s="44"/>
      <c r="O36" s="44"/>
      <c r="P36" s="44"/>
      <c r="Q36" s="44"/>
      <c r="R36" s="44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4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Y36" s="46"/>
      <c r="AZ36" s="46"/>
      <c r="BA36" s="46"/>
      <c r="BB36" s="46"/>
      <c r="BC36" s="46"/>
    </row>
    <row r="37" spans="2:55" x14ac:dyDescent="0.2">
      <c r="G37" s="46"/>
      <c r="H37" s="46"/>
      <c r="I37" s="46"/>
      <c r="J37" s="46"/>
      <c r="K37" s="46"/>
      <c r="L37" s="44"/>
      <c r="M37" s="44"/>
      <c r="N37" s="44"/>
      <c r="O37" s="44"/>
      <c r="P37" s="44"/>
      <c r="Q37" s="44"/>
      <c r="R37" s="44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4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Y37" s="46"/>
      <c r="AZ37" s="46"/>
      <c r="BA37" s="46"/>
      <c r="BB37" s="46"/>
      <c r="BC37" s="46"/>
    </row>
    <row r="38" spans="2:55" x14ac:dyDescent="0.2">
      <c r="G38" s="46"/>
      <c r="H38" s="46"/>
      <c r="I38" s="46"/>
      <c r="J38" s="46"/>
      <c r="K38" s="46"/>
      <c r="L38" s="44"/>
      <c r="M38" s="44"/>
      <c r="N38" s="44"/>
      <c r="O38" s="44"/>
      <c r="P38" s="44"/>
      <c r="Q38" s="44"/>
      <c r="R38" s="44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4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Y38" s="46"/>
      <c r="AZ38" s="46"/>
      <c r="BA38" s="46"/>
      <c r="BB38" s="46"/>
      <c r="BC38" s="46"/>
    </row>
    <row r="39" spans="2:55" x14ac:dyDescent="0.2">
      <c r="G39" s="46"/>
      <c r="H39" s="46"/>
      <c r="I39" s="46"/>
      <c r="J39" s="46"/>
      <c r="K39" s="46"/>
      <c r="L39" s="44"/>
      <c r="M39" s="44"/>
      <c r="N39" s="44"/>
      <c r="O39" s="44"/>
      <c r="P39" s="44"/>
      <c r="Q39" s="44"/>
      <c r="R39" s="44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4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Y39" s="46"/>
      <c r="AZ39" s="46"/>
      <c r="BA39" s="46"/>
      <c r="BB39" s="46"/>
      <c r="BC39" s="46"/>
    </row>
    <row r="40" spans="2:55" x14ac:dyDescent="0.2"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Y40" s="44"/>
      <c r="AZ40" s="44"/>
      <c r="BA40" s="44"/>
      <c r="BB40" s="44"/>
      <c r="BC40" s="44"/>
    </row>
    <row r="41" spans="2:55" x14ac:dyDescent="0.2"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Y41" s="44"/>
      <c r="AZ41" s="44"/>
      <c r="BA41" s="44"/>
      <c r="BB41" s="44"/>
      <c r="BC41" s="44"/>
    </row>
    <row r="42" spans="2:55" x14ac:dyDescent="0.2"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Y42" s="44"/>
      <c r="AZ42" s="44"/>
      <c r="BA42" s="44"/>
      <c r="BB42" s="44"/>
      <c r="BC42" s="44"/>
    </row>
    <row r="43" spans="2:55" x14ac:dyDescent="0.2">
      <c r="B43" s="60"/>
      <c r="C43" s="60"/>
      <c r="D43" s="60"/>
      <c r="L43" s="44"/>
      <c r="M43" s="44"/>
      <c r="N43" s="44"/>
      <c r="O43" s="44"/>
      <c r="P43" s="44"/>
      <c r="Q43" s="44"/>
      <c r="R43" s="44"/>
      <c r="AC43" s="44"/>
    </row>
    <row r="44" spans="2:55" x14ac:dyDescent="0.2">
      <c r="B44" s="60"/>
      <c r="C44" s="60"/>
      <c r="D44" s="60"/>
      <c r="L44" s="44"/>
      <c r="M44" s="44"/>
      <c r="N44" s="44"/>
      <c r="O44" s="44"/>
      <c r="P44" s="44"/>
      <c r="Q44" s="44"/>
      <c r="R44" s="44"/>
      <c r="AC44" s="44"/>
    </row>
    <row r="45" spans="2:55" x14ac:dyDescent="0.2">
      <c r="B45" s="60"/>
      <c r="C45" s="60"/>
      <c r="D45" s="60"/>
      <c r="L45" s="44"/>
      <c r="M45" s="44"/>
      <c r="N45" s="44"/>
      <c r="O45" s="44"/>
      <c r="P45" s="44"/>
      <c r="Q45" s="44"/>
      <c r="R45" s="44"/>
      <c r="AC45" s="44"/>
    </row>
    <row r="46" spans="2:55" x14ac:dyDescent="0.2">
      <c r="B46" s="60"/>
      <c r="C46" s="60"/>
      <c r="D46" s="60"/>
      <c r="L46" s="44"/>
      <c r="M46" s="44"/>
      <c r="N46" s="44"/>
      <c r="O46" s="44"/>
      <c r="P46" s="44"/>
      <c r="Q46" s="44"/>
      <c r="R46" s="44"/>
      <c r="AC46" s="44"/>
    </row>
    <row r="47" spans="2:55" x14ac:dyDescent="0.2">
      <c r="B47" s="60"/>
      <c r="C47" s="60"/>
      <c r="D47" s="60"/>
      <c r="L47" s="44"/>
      <c r="M47" s="44"/>
      <c r="N47" s="44"/>
      <c r="O47" s="44"/>
      <c r="P47" s="44"/>
      <c r="Q47" s="44"/>
      <c r="R47" s="44"/>
      <c r="AC47" s="44"/>
    </row>
    <row r="48" spans="2:55" x14ac:dyDescent="0.2">
      <c r="B48" s="60"/>
      <c r="C48" s="60"/>
      <c r="D48" s="60"/>
      <c r="L48" s="44"/>
      <c r="M48" s="44"/>
      <c r="N48" s="44"/>
      <c r="O48" s="44"/>
      <c r="P48" s="44"/>
      <c r="Q48" s="44"/>
      <c r="R48" s="44"/>
      <c r="AC48" s="44"/>
    </row>
    <row r="49" spans="2:29" x14ac:dyDescent="0.2">
      <c r="B49" s="60"/>
      <c r="C49" s="60"/>
      <c r="D49" s="60"/>
      <c r="L49" s="44"/>
      <c r="M49" s="44"/>
      <c r="N49" s="44"/>
      <c r="O49" s="44"/>
      <c r="P49" s="44"/>
      <c r="Q49" s="44"/>
      <c r="R49" s="44"/>
      <c r="AC49" s="44"/>
    </row>
    <row r="50" spans="2:29" x14ac:dyDescent="0.2">
      <c r="B50" s="60"/>
      <c r="C50" s="60"/>
      <c r="D50" s="60"/>
      <c r="L50" s="44"/>
      <c r="M50" s="44"/>
      <c r="N50" s="44"/>
      <c r="O50" s="44"/>
      <c r="P50" s="44"/>
      <c r="Q50" s="44"/>
      <c r="R50" s="44"/>
      <c r="AC50" s="44"/>
    </row>
    <row r="51" spans="2:29" x14ac:dyDescent="0.2">
      <c r="B51" s="60"/>
      <c r="C51" s="60"/>
      <c r="D51" s="60"/>
      <c r="L51" s="44"/>
      <c r="M51" s="44"/>
      <c r="N51" s="44"/>
      <c r="O51" s="44"/>
      <c r="P51" s="44"/>
      <c r="Q51" s="44"/>
      <c r="R51" s="44"/>
      <c r="AC51" s="44"/>
    </row>
    <row r="52" spans="2:29" x14ac:dyDescent="0.2">
      <c r="B52" s="60"/>
      <c r="C52" s="60"/>
      <c r="D52" s="60"/>
      <c r="L52" s="44"/>
      <c r="M52" s="44"/>
      <c r="N52" s="44"/>
      <c r="O52" s="44"/>
      <c r="P52" s="44"/>
      <c r="Q52" s="44"/>
      <c r="R52" s="44"/>
      <c r="AC52" s="44"/>
    </row>
    <row r="53" spans="2:29" x14ac:dyDescent="0.2">
      <c r="B53" s="60"/>
      <c r="C53" s="60"/>
      <c r="D53" s="60"/>
      <c r="L53" s="44"/>
      <c r="M53" s="44"/>
      <c r="N53" s="44"/>
      <c r="O53" s="44"/>
      <c r="P53" s="44"/>
      <c r="Q53" s="44"/>
      <c r="R53" s="44"/>
      <c r="AC53" s="44"/>
    </row>
    <row r="54" spans="2:29" x14ac:dyDescent="0.2">
      <c r="B54" s="60"/>
      <c r="C54" s="60"/>
      <c r="D54" s="60"/>
      <c r="L54" s="44"/>
      <c r="M54" s="44"/>
      <c r="N54" s="44"/>
      <c r="O54" s="44"/>
      <c r="P54" s="44"/>
      <c r="Q54" s="44"/>
      <c r="R54" s="44"/>
      <c r="AC54" s="44"/>
    </row>
    <row r="55" spans="2:29" x14ac:dyDescent="0.2">
      <c r="B55" s="60"/>
      <c r="C55" s="60"/>
      <c r="D55" s="60"/>
      <c r="L55" s="44"/>
      <c r="M55" s="44"/>
      <c r="N55" s="44"/>
      <c r="O55" s="44"/>
      <c r="P55" s="44"/>
      <c r="Q55" s="44"/>
      <c r="R55" s="44"/>
      <c r="AC55" s="44"/>
    </row>
    <row r="56" spans="2:29" x14ac:dyDescent="0.2">
      <c r="B56" s="60"/>
      <c r="C56" s="60"/>
      <c r="D56" s="60"/>
      <c r="L56" s="44"/>
      <c r="M56" s="44"/>
      <c r="N56" s="44"/>
      <c r="O56" s="44"/>
      <c r="P56" s="44"/>
      <c r="Q56" s="44"/>
      <c r="R56" s="44"/>
      <c r="AC56" s="44"/>
    </row>
    <row r="57" spans="2:29" x14ac:dyDescent="0.2">
      <c r="B57" s="60"/>
      <c r="C57" s="60"/>
      <c r="D57" s="60"/>
      <c r="L57" s="44"/>
      <c r="M57" s="44"/>
      <c r="N57" s="44"/>
      <c r="O57" s="44"/>
      <c r="P57" s="44"/>
      <c r="Q57" s="44"/>
      <c r="R57" s="44"/>
      <c r="AC57" s="44"/>
    </row>
    <row r="58" spans="2:29" x14ac:dyDescent="0.2">
      <c r="D58" s="60"/>
      <c r="L58" s="44"/>
      <c r="M58" s="44"/>
      <c r="N58" s="44"/>
      <c r="O58" s="44"/>
      <c r="P58" s="44"/>
      <c r="Q58" s="44"/>
      <c r="R58" s="44"/>
      <c r="AC58" s="44"/>
    </row>
    <row r="59" spans="2:29" x14ac:dyDescent="0.2">
      <c r="D59" s="60"/>
      <c r="L59" s="44"/>
      <c r="M59" s="44"/>
      <c r="N59" s="44"/>
      <c r="O59" s="44"/>
      <c r="P59" s="44"/>
      <c r="Q59" s="44"/>
      <c r="R59" s="44"/>
      <c r="AC59" s="44"/>
    </row>
  </sheetData>
  <conditionalFormatting sqref="K1">
    <cfRule type="cellIs" dxfId="3" priority="5" stopIfTrue="1" operator="equal">
      <formula>"TA"</formula>
    </cfRule>
    <cfRule type="cellIs" dxfId="2" priority="6" stopIfTrue="1" operator="equal">
      <formula>"INJ"</formula>
    </cfRule>
    <cfRule type="cellIs" dxfId="1" priority="7" stopIfTrue="1" operator="equal">
      <formula>"SWD"</formula>
    </cfRule>
    <cfRule type="cellIs" dxfId="0" priority="8" stopIfTrue="1" operator="equal">
      <formula>"PROD"</formula>
    </cfRule>
  </conditionalFormatting>
  <pageMargins left="0.75" right="0.75" top="0.27" bottom="0.32" header="0.24" footer="0.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41</vt:i4>
      </vt:variant>
    </vt:vector>
  </HeadingPairs>
  <TitlesOfParts>
    <vt:vector size="46" baseType="lpstr">
      <vt:lpstr>Facility Information</vt:lpstr>
      <vt:lpstr>WELLS</vt:lpstr>
      <vt:lpstr>TOTALS</vt:lpstr>
      <vt:lpstr>LOG ABBREVIATION CHEAT SHEET	</vt:lpstr>
      <vt:lpstr>LEGEND</vt:lpstr>
      <vt:lpstr>API_NO</vt:lpstr>
      <vt:lpstr>BHL</vt:lpstr>
      <vt:lpstr>BHT_DEG_F</vt:lpstr>
      <vt:lpstr>C.STATUS</vt:lpstr>
      <vt:lpstr>COMMENTS</vt:lpstr>
      <vt:lpstr>COMPANY</vt:lpstr>
      <vt:lpstr>COND_CSG</vt:lpstr>
      <vt:lpstr>CORE_ANALY</vt:lpstr>
      <vt:lpstr>CORES</vt:lpstr>
      <vt:lpstr>COUNTY</vt:lpstr>
      <vt:lpstr>Database</vt:lpstr>
      <vt:lpstr>DERRICK_FL</vt:lpstr>
      <vt:lpstr>DR_STM_TST</vt:lpstr>
      <vt:lpstr>FEDLANDS</vt:lpstr>
      <vt:lpstr>GRND_ELEV</vt:lpstr>
      <vt:lpstr>INT_CSG</vt:lpstr>
      <vt:lpstr>LATITUDE</vt:lpstr>
      <vt:lpstr>LOCALE</vt:lpstr>
      <vt:lpstr>LONGITUDE</vt:lpstr>
      <vt:lpstr>OIL_SHOW</vt:lpstr>
      <vt:lpstr>OILFIELD</vt:lpstr>
      <vt:lpstr>PERFORATIONS</vt:lpstr>
      <vt:lpstr>PERMIT</vt:lpstr>
      <vt:lpstr>PERMITNO</vt:lpstr>
      <vt:lpstr>PLUGS</vt:lpstr>
      <vt:lpstr>WELLS!Print_Titles</vt:lpstr>
      <vt:lpstr>PROD_CSG</vt:lpstr>
      <vt:lpstr>SAMPLES</vt:lpstr>
      <vt:lpstr>SCAN</vt:lpstr>
      <vt:lpstr>SHL</vt:lpstr>
      <vt:lpstr>SPUD_DATE</vt:lpstr>
      <vt:lpstr>STATUS</vt:lpstr>
      <vt:lpstr>SURF_CSG</vt:lpstr>
      <vt:lpstr>TEST_GAS</vt:lpstr>
      <vt:lpstr>TEST_OIL</vt:lpstr>
      <vt:lpstr>TEST_WATER</vt:lpstr>
      <vt:lpstr>TOTALDEPTH</vt:lpstr>
      <vt:lpstr>TUBING</vt:lpstr>
      <vt:lpstr>WELLLOGS</vt:lpstr>
      <vt:lpstr>WELLNAME</vt:lpstr>
      <vt:lpstr>WNUMBER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LAMARR HARGROVE</dc:creator>
  <cp:lastModifiedBy>Speas-Frost, Shanin</cp:lastModifiedBy>
  <cp:lastPrinted>2005-11-08T13:20:47Z</cp:lastPrinted>
  <dcterms:created xsi:type="dcterms:W3CDTF">2000-10-12T13:41:18Z</dcterms:created>
  <dcterms:modified xsi:type="dcterms:W3CDTF">2026-03-23T19:49:03Z</dcterms:modified>
</cp:coreProperties>
</file>