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1.xml" ContentType="application/vnd.openxmlformats-officedocument.drawing+xml"/>
  <Override PartName="/xl/customProperty10.bin" ContentType="application/vnd.openxmlformats-officedocument.spreadsheetml.customProperty"/>
  <Override PartName="/xl/drawings/drawing2.xml" ContentType="application/vnd.openxmlformats-officedocument.drawing+xml"/>
  <Override PartName="/xl/customProperty1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66925"/>
  <mc:AlternateContent xmlns:mc="http://schemas.openxmlformats.org/markup-compatibility/2006">
    <mc:Choice Requires="x15">
      <x15ac:absPath xmlns:x15ac="http://schemas.microsoft.com/office/spreadsheetml/2010/11/ac" url="https://floridadep-my.sharepoint.com/personal/sarah_menz_floridadep_gov/Documents/"/>
    </mc:Choice>
  </mc:AlternateContent>
  <xr:revisionPtr revIDLastSave="28" documentId="8_{162C3C7D-42A6-4CA0-A6C7-7D0952A5555B}" xr6:coauthVersionLast="47" xr6:coauthVersionMax="47" xr10:uidLastSave="{76F9A46D-E7AC-4186-BA43-C36C5F17D347}"/>
  <bookViews>
    <workbookView xWindow="28680" yWindow="-120" windowWidth="29040" windowHeight="15720" tabRatio="757" xr2:uid="{5067B02D-A28C-4FDE-A50D-9CA3802DA29A}"/>
  </bookViews>
  <sheets>
    <sheet name="Instructions" sheetId="8" r:id="rId1"/>
    <sheet name="SPRINGS_Residential_2025" sheetId="15" r:id="rId2"/>
    <sheet name="SPRINGS_Residential_Other" sheetId="11" r:id="rId3"/>
    <sheet name="SPRINGS_OSTDS_Commecial_2025" sheetId="17" r:id="rId4"/>
    <sheet name="SPRINGS_Commecial_Other" sheetId="13" r:id="rId5"/>
    <sheet name="SJRWMD_DEP Modified" sheetId="9" r:id="rId6"/>
    <sheet name="TMDL Method" sheetId="6" r:id="rId7"/>
    <sheet name="ArcNLET" sheetId="18" r:id="rId8"/>
    <sheet name="ReferenceLists2025" sheetId="16" state="hidden" r:id="rId9"/>
    <sheet name="ReferenceLists" sheetId="12" state="hidden" r:id="rId10"/>
    <sheet name="OSTDS Flows by Facility Type" sheetId="14" state="hidden" r:id="rId11"/>
  </sheets>
  <externalReferences>
    <externalReference r:id="rId12"/>
    <externalReference r:id="rId13"/>
  </externalReferences>
  <definedNames>
    <definedName name="_xlnm._FilterDatabase" localSheetId="9" hidden="1">ReferenceLists!$A$1:$J$67</definedName>
    <definedName name="_xlnm._FilterDatabase" localSheetId="8" hidden="1">ReferenceLists2025!$A$1:$J$67</definedName>
    <definedName name="County" localSheetId="4">[1]!PersonsPerHousehold[County]</definedName>
    <definedName name="County" localSheetId="3">[1]!PersonsPerHousehold[County]</definedName>
    <definedName name="County">#REF!</definedName>
    <definedName name="EMCN">[2]EMCs!$A$3:$B$18</definedName>
    <definedName name="EMCP">[2]EMCs!$A$3:$C$18</definedName>
    <definedName name="FLUCCS">[2]FLUCCS!$A$1:$B$500</definedName>
    <definedName name="HEMC">[2]Conformance!$A$2:$B$118</definedName>
    <definedName name="HROC">[2]Conformance!$C:$D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9" l="1"/>
  <c r="I15" i="9"/>
  <c r="J15" i="9" s="1"/>
  <c r="H22" i="9"/>
  <c r="G22" i="9" l="1"/>
  <c r="C16" i="6"/>
  <c r="D29" i="17"/>
  <c r="I29" i="17" s="1"/>
  <c r="J29" i="17" s="1"/>
  <c r="K29" i="17" s="1"/>
  <c r="L29" i="17" s="1" a="1"/>
  <c r="M29" i="17" s="1" a="1"/>
  <c r="B29" i="17"/>
  <c r="H24" i="17"/>
  <c r="I24" i="17" s="1"/>
  <c r="F18" i="17"/>
  <c r="G18" i="17" s="1"/>
  <c r="H18" i="17" s="1" a="1"/>
  <c r="I18" i="17" s="1" a="1"/>
  <c r="H29" i="17"/>
  <c r="G24" i="17"/>
  <c r="D10" i="15"/>
  <c r="J24" i="17" l="1"/>
  <c r="K24" i="17" s="1" a="1"/>
  <c r="L24" i="17" s="1" a="1"/>
  <c r="B10" i="15"/>
  <c r="B15" i="15" s="1"/>
  <c r="B16" i="15" s="1"/>
  <c r="H87" i="16"/>
  <c r="B38" i="15"/>
  <c r="B29" i="15"/>
  <c r="B19" i="15" l="1"/>
  <c r="B18" i="15"/>
  <c r="B17" i="15"/>
  <c r="D17" i="15" l="1"/>
  <c r="C17" i="15"/>
  <c r="D18" i="15"/>
  <c r="C18" i="15"/>
  <c r="C19" i="15"/>
  <c r="D19" i="15"/>
  <c r="C28" i="15" l="1"/>
  <c r="C35" i="15"/>
  <c r="C26" i="15"/>
  <c r="C27" i="15"/>
  <c r="C36" i="15"/>
  <c r="C37" i="15"/>
  <c r="C38" i="15" l="1"/>
  <c r="C29" i="15"/>
  <c r="C9" i="14" l="1"/>
  <c r="D29" i="13"/>
  <c r="B28" i="11"/>
  <c r="I29" i="13" l="1"/>
  <c r="J29" i="13" s="1"/>
  <c r="K29" i="13" s="1"/>
  <c r="L29" i="13" s="1" a="1"/>
  <c r="M29" i="13" s="1" a="1"/>
  <c r="B29" i="13"/>
  <c r="H29" i="13"/>
  <c r="C18" i="14"/>
  <c r="C17" i="14"/>
  <c r="C16" i="14"/>
  <c r="C13" i="14"/>
  <c r="C11" i="14"/>
  <c r="C10" i="14"/>
  <c r="C4" i="14"/>
  <c r="F18" i="13" l="1"/>
  <c r="G18" i="13" s="1"/>
  <c r="H87" i="12"/>
  <c r="D9" i="11" l="1"/>
  <c r="B9" i="11" l="1"/>
  <c r="B14" i="11" s="1"/>
  <c r="B15" i="11" s="1"/>
  <c r="H24" i="13"/>
  <c r="I24" i="13" s="1"/>
  <c r="H18" i="13" a="1"/>
  <c r="I18" i="13" s="1" a="1"/>
  <c r="G24" i="13"/>
  <c r="B37" i="11"/>
  <c r="J24" i="13" l="1"/>
  <c r="K24" i="13" s="1" a="1"/>
  <c r="L24" i="13" s="1" a="1"/>
  <c r="H16" i="6"/>
  <c r="B18" i="11"/>
  <c r="B16" i="11"/>
  <c r="B17" i="11"/>
  <c r="D18" i="11" l="1"/>
  <c r="C18" i="11"/>
  <c r="C25" i="11" s="1"/>
  <c r="D16" i="11"/>
  <c r="C16" i="11"/>
  <c r="C17" i="11"/>
  <c r="D17" i="11"/>
  <c r="C35" i="11" l="1"/>
  <c r="C26" i="11"/>
  <c r="C34" i="11"/>
  <c r="C27" i="11"/>
  <c r="C36" i="11"/>
  <c r="C28" i="11" l="1"/>
  <c r="C37"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<sst xmlns="http://schemas.openxmlformats.org/spreadsheetml/2006/main" count="784" uniqueCount="418">
  <si>
    <t>Instructions for BMAP stakeholders for OSTDS Septic to Sewer Projects or Enhancement/65% Treatment or More Projects</t>
  </si>
  <si>
    <t>BMAP ID</t>
  </si>
  <si>
    <t>BMAP Name</t>
  </si>
  <si>
    <t>Use</t>
  </si>
  <si>
    <t>ALAF</t>
  </si>
  <si>
    <t>Alafia River Basin</t>
  </si>
  <si>
    <t>SJRWMD_DEP Modified</t>
  </si>
  <si>
    <t>See BMAP Guide to the right to determine which methodology to use for each BMAP.</t>
  </si>
  <si>
    <t>BIRL</t>
  </si>
  <si>
    <t>Banana River Lagoon</t>
  </si>
  <si>
    <t>ArcNLET</t>
  </si>
  <si>
    <t>As more information is known, the methods may change over time.</t>
  </si>
  <si>
    <t>CALO</t>
  </si>
  <si>
    <t>Caloosahatchee River &amp; Estuary</t>
  </si>
  <si>
    <t xml:space="preserve">This spreadsheet tool is just for nitrogen. ArcNLET Py has the capacity to estimate phosphorus nutrient reductions. </t>
  </si>
  <si>
    <t>CHHO</t>
  </si>
  <si>
    <t>Homosassa/Chassahowitzka</t>
  </si>
  <si>
    <t>Springs 2025</t>
  </si>
  <si>
    <t>CIRL</t>
  </si>
  <si>
    <t>Central Indian River Lagoon</t>
  </si>
  <si>
    <t>DELE</t>
  </si>
  <si>
    <t>DeLeon Springs</t>
  </si>
  <si>
    <t>Brief Q&amp;A to Guide Method Selection</t>
  </si>
  <si>
    <t>EWCO</t>
  </si>
  <si>
    <t>Everglades West Coast</t>
  </si>
  <si>
    <t>Question</t>
  </si>
  <si>
    <t>Answer</t>
  </si>
  <si>
    <t>GEMI</t>
  </si>
  <si>
    <t>Gemini Springs</t>
  </si>
  <si>
    <t>Is your project in a BMAP springshed?</t>
  </si>
  <si>
    <t>Use the springs residential property or springs commercial property method, as applicable.</t>
  </si>
  <si>
    <t>HAMO</t>
  </si>
  <si>
    <t>Lakes Harney, Monroe, MSJR and Smith Canal</t>
  </si>
  <si>
    <t>TMDL Method</t>
  </si>
  <si>
    <t>Are you looking for a nitrogen reduction estimate for a surface water that is not a lake?</t>
  </si>
  <si>
    <t>Use the SJRWMD method, or the ArcNLET Model</t>
  </si>
  <si>
    <t>JABL</t>
  </si>
  <si>
    <t>Jackson Blue</t>
  </si>
  <si>
    <t>Are you looking a nitrogen reduction estimate for a lake?</t>
  </si>
  <si>
    <t>Use the TMDL Method orthe ArcNLET Model</t>
  </si>
  <si>
    <t>JESU</t>
  </si>
  <si>
    <t>Lake Jesup</t>
  </si>
  <si>
    <t>Jesup Model</t>
  </si>
  <si>
    <t>KING</t>
  </si>
  <si>
    <t>Crystal River/Kings Bay</t>
  </si>
  <si>
    <t>LSJM</t>
  </si>
  <si>
    <t>Lower St. Johns River Main Stem</t>
  </si>
  <si>
    <t>Springs OSTDS Loading Calcs (Spring BMAPs ONLY)</t>
  </si>
  <si>
    <t>MANA</t>
  </si>
  <si>
    <t>Manatee River Basin</t>
  </si>
  <si>
    <t>Approved for BMAP Springs Credit Calculations</t>
  </si>
  <si>
    <t>Advantages</t>
  </si>
  <si>
    <t>NIRL</t>
  </si>
  <si>
    <t>North Indian River Lagoon</t>
  </si>
  <si>
    <t>Point of Contact: Sarah Menz, DEP</t>
  </si>
  <si>
    <t>Consistent use across springs BMAPs.</t>
  </si>
  <si>
    <t>OKEE</t>
  </si>
  <si>
    <t>Lake Okeechobee</t>
  </si>
  <si>
    <t>Uses census data for the persons per household, which is easy to find (online or in the dropdown options here).</t>
  </si>
  <si>
    <t>OKLA</t>
  </si>
  <si>
    <t>Upper Ocklawaha</t>
  </si>
  <si>
    <t>The recharge areas are available from DEP.</t>
  </si>
  <si>
    <t>ORCR</t>
  </si>
  <si>
    <t>Orange Creek</t>
  </si>
  <si>
    <t>SIRA</t>
  </si>
  <si>
    <t>Silver and Rainbow Springs</t>
  </si>
  <si>
    <t>ArcNLET Model</t>
  </si>
  <si>
    <t>SAFE</t>
  </si>
  <si>
    <t>Santa Fe River</t>
  </si>
  <si>
    <t>Approved for BMAP Credit Calculations</t>
  </si>
  <si>
    <t>Challenges</t>
  </si>
  <si>
    <t>STLU</t>
  </si>
  <si>
    <t>St. Lucie River and Estuary</t>
  </si>
  <si>
    <r>
      <rPr>
        <b/>
        <sz val="11"/>
        <color theme="1"/>
        <rFont val="Calibri"/>
        <family val="2"/>
        <scheme val="minor"/>
      </rPr>
      <t>Developer:</t>
    </r>
    <r>
      <rPr>
        <sz val="11"/>
        <color theme="1"/>
        <rFont val="Calibri"/>
        <family val="2"/>
        <scheme val="minor"/>
      </rPr>
      <t xml:space="preserve"> Ming Ye, PhD, FSU</t>
    </r>
  </si>
  <si>
    <t>The estimates are site-specific.</t>
  </si>
  <si>
    <t>Requires GIS to run.</t>
  </si>
  <si>
    <t>SUWA</t>
  </si>
  <si>
    <t>Suwannee River Basin</t>
  </si>
  <si>
    <t>Springs Other</t>
  </si>
  <si>
    <r>
      <rPr>
        <b/>
        <sz val="11"/>
        <color theme="1"/>
        <rFont val="Calibri"/>
        <family val="2"/>
        <scheme val="minor"/>
      </rPr>
      <t>Sponsor:</t>
    </r>
    <r>
      <rPr>
        <sz val="11"/>
        <color theme="1"/>
        <rFont val="Calibri"/>
        <family val="2"/>
        <scheme val="minor"/>
      </rPr>
      <t xml:space="preserve"> DEP (Rick Hicks, PG, Retired)</t>
    </r>
  </si>
  <si>
    <t>The estimates consider soil type, water table, and distance to waterbodies.</t>
  </si>
  <si>
    <t>Calibration is essential when ArcNLET is used and you need pre-, post- data.</t>
  </si>
  <si>
    <t>VOBL</t>
  </si>
  <si>
    <t>Volusia Blue</t>
  </si>
  <si>
    <r>
      <rPr>
        <b/>
        <sz val="11"/>
        <color theme="1"/>
        <rFont val="Calibri"/>
        <family val="2"/>
        <scheme val="minor"/>
      </rPr>
      <t>Availability:</t>
    </r>
    <r>
      <rPr>
        <sz val="11"/>
        <color theme="1"/>
        <rFont val="Calibri"/>
        <family val="2"/>
        <scheme val="minor"/>
      </rPr>
      <t xml:space="preserve"> Free, Available to the public at https://github.com/ArcNLET-Py/</t>
    </r>
  </si>
  <si>
    <t>The model includes both groundwater loading and vadose zone loading.</t>
  </si>
  <si>
    <t>The model should be run at the street or neighborhood scale; running large areas at once may not work.</t>
  </si>
  <si>
    <t>WACI</t>
  </si>
  <si>
    <t>Wacissa</t>
  </si>
  <si>
    <r>
      <rPr>
        <b/>
        <sz val="11"/>
        <color theme="1"/>
        <rFont val="Calibri"/>
        <family val="2"/>
        <scheme val="minor"/>
      </rPr>
      <t>Description</t>
    </r>
    <r>
      <rPr>
        <sz val="11"/>
        <color theme="1"/>
        <rFont val="Calibri"/>
        <family val="2"/>
        <scheme val="minor"/>
      </rPr>
      <t>: ArcNLET Py is an ArcGIS-based nitrogen and phosphorus load estimation tool. Processes for failed systems are not considered.</t>
    </r>
  </si>
  <si>
    <t>The model allows the factors to be adjusted based on site-specific data, if available.</t>
  </si>
  <si>
    <t>WAKU</t>
  </si>
  <si>
    <t>Upper Wakulla River and Springs</t>
  </si>
  <si>
    <t>Training and Model Manual: Follow this link to Dr. Ye's site to download the tool and manuals.  A training example is available in the User's Manual.  Download the Lakeshore sample data for the exercise.</t>
  </si>
  <si>
    <t>Because the model considers distance, the loading estimates tend to be lower than what most people expect when they see the loads estimated leaving the septic field, and therefore the estimated reductions seem conservative.</t>
  </si>
  <si>
    <t>WEEK</t>
  </si>
  <si>
    <t>Weeki Wachee</t>
  </si>
  <si>
    <t>Properly run, the model is calibrated by before and after data, so the model results are informed by measured data.</t>
  </si>
  <si>
    <t>WEKR</t>
  </si>
  <si>
    <t>Wekiva River, Rock Springs Run, and Little Wekiva Canal</t>
  </si>
  <si>
    <t>WEKS</t>
  </si>
  <si>
    <t>Wekiwa and Rock Springs</t>
  </si>
  <si>
    <t>SJRWMD OSTDS Phase Out Calculation Method (Modified by DEP)</t>
  </si>
  <si>
    <t>Potential Method; Check with Your DEP Basin Coordinator Before Using for BMAP Credit</t>
  </si>
  <si>
    <t>Developer: Andy Canion, PhD, SJRWMD</t>
  </si>
  <si>
    <t>Simple</t>
  </si>
  <si>
    <t xml:space="preserve">Not suitable for all BMAPs. </t>
  </si>
  <si>
    <t>No GIS required</t>
  </si>
  <si>
    <t xml:space="preserve">Maximum number of systems is 50. </t>
  </si>
  <si>
    <t>The recharge areas are available from DEP</t>
  </si>
  <si>
    <r>
      <t xml:space="preserve">DEP TMDL Method for OSTDS Loads to </t>
    </r>
    <r>
      <rPr>
        <b/>
        <u/>
        <sz val="11"/>
        <color theme="1"/>
        <rFont val="Calibri"/>
        <family val="2"/>
        <scheme val="minor"/>
      </rPr>
      <t>Lakes</t>
    </r>
  </si>
  <si>
    <t>Points of Contact: Eric Simpson (DEP)</t>
  </si>
  <si>
    <t>This method is simple and the data are fairly easy to get. The hardest part is counting the number of systems within 200 m of the waterbody.</t>
  </si>
  <si>
    <t>GIS recommended to determine the number of systems within 200 m of the waterbody.</t>
  </si>
  <si>
    <t>This method is recommended for lakes, but not other waterbodies.</t>
  </si>
  <si>
    <t>Only usable for lakes and systems within 200 m of the waterbody.</t>
  </si>
  <si>
    <t>USE FOR: CHHO, DELE, GEMI, JABL, KING, SAFE, VOBL, WACI, WEEK, and SIRA (previously SILV and RAIN)</t>
  </si>
  <si>
    <t>Springs RESIDENTIAL OSTDS Loading Calcs (Spring BMAPs ONLY)</t>
  </si>
  <si>
    <t>Required for BMAP Springs Credit Calculations</t>
  </si>
  <si>
    <t>Only complete green cells</t>
  </si>
  <si>
    <t>Select County Where Project is Located (Select from Drop Down)</t>
  </si>
  <si>
    <t>Persons Per Household (Populated When County Is Selected)</t>
  </si>
  <si>
    <t>TN Load Per Person (lbs/Yr)</t>
  </si>
  <si>
    <t>Medium Recharge Rate</t>
  </si>
  <si>
    <t>County</t>
  </si>
  <si>
    <t>Calculation Table (auto-generated based on county selected)</t>
  </si>
  <si>
    <t>Recharge Category</t>
  </si>
  <si>
    <t>Conventional OSTDS TN Load to Groundwater 
(lbs/Yr/OSTDS)</t>
  </si>
  <si>
    <t>TN Reduction to Groundwater (lbs/Yr/OSTDS)</t>
  </si>
  <si>
    <t xml:space="preserve">Enhanced OSTDS </t>
  </si>
  <si>
    <t>Sewered OSTDS</t>
  </si>
  <si>
    <t xml:space="preserve">Nitrogen Input </t>
  </si>
  <si>
    <t xml:space="preserve">Attenuation </t>
  </si>
  <si>
    <t>Low Recharge</t>
  </si>
  <si>
    <t>Medium Recharge</t>
  </si>
  <si>
    <t>High Recharge</t>
  </si>
  <si>
    <t>Enhancement Table--OSTDS With Additional Nitrogen Treatment Installed</t>
  </si>
  <si>
    <t>Recharge Area 
(See Link Above to Review Recharge Type at Project Site)</t>
  </si>
  <si>
    <t>Number of Enhanced OSTDS (Whole Number)</t>
  </si>
  <si>
    <t>Nitrogen Load Reductions Through Enhancement  (lbs/Yr)</t>
  </si>
  <si>
    <t xml:space="preserve">High </t>
  </si>
  <si>
    <t xml:space="preserve">Medium </t>
  </si>
  <si>
    <t xml:space="preserve">Low </t>
  </si>
  <si>
    <t xml:space="preserve">Total </t>
  </si>
  <si>
    <t>Septic to Sewer Table--OSTDS Properly Abandoned and Connected to Sewer</t>
  </si>
  <si>
    <t>Recharge Area 
(See Link to Review Recharge Type at Project Site)</t>
  </si>
  <si>
    <t>Number of Sewered OSTDS  (Whole Number-Only Count Phased Out OSTDS)</t>
  </si>
  <si>
    <t>Load Reductions Through Sewering 
(TN lbs/Yr)
(Populates When # of OSTDS Is Entered)</t>
  </si>
  <si>
    <t>USE FOR: SUWA, WAKU, WEKS</t>
  </si>
  <si>
    <t>Medium Recharge Rate (Based on BMAP)</t>
  </si>
  <si>
    <t>Springs COMMERCIAL OSTDS Loading Calcs (Spring BMAPs ONLY)</t>
  </si>
  <si>
    <t>Use one method based on the data available--pick Persons Per Day Methodology, Square Foot Methodology, or Facility Type Methodology.</t>
  </si>
  <si>
    <t>Use the Persons Per Day Methodology when you know the number of people/visitors to the commercial property.</t>
  </si>
  <si>
    <t>Use the Square Foot Methodology when you don't know the number of people/visitors and whether they have a kitchen, etc. on site and you don't know the type of facility. With this method, you need to know the size the building.</t>
  </si>
  <si>
    <t>Use the Facility Type Methodology when you know the use for the facility and have the determining factor numbers (see OSTDS Flows by Facility Type tab).</t>
  </si>
  <si>
    <t>Many green cells have drop down boxes</t>
  </si>
  <si>
    <t>To add more rows, select the provided row, grab the plus '+' sign at the end of the row and drag down to generate as many blank rows as you want</t>
  </si>
  <si>
    <t>If the blank area below your preferred table does not have enough blank rows, insert more rows before dragging down the calculations</t>
  </si>
  <si>
    <t>Persons Per Day Methodology</t>
  </si>
  <si>
    <t>Enter the Type of Facility If Known (i.e. park, entertainment venue, campground)</t>
  </si>
  <si>
    <t>Pick the County Where the Project Is Located</t>
  </si>
  <si>
    <t>Enter the Average Number of People/Day at Facility</t>
  </si>
  <si>
    <t xml:space="preserve">Pick Recharge Type Where Septic Field is Located </t>
  </si>
  <si>
    <t>Pick Sewering or Enhancement</t>
  </si>
  <si>
    <t>TN Grams/Day (based on UF Commercial OSTDS Study)
(Populates Based on # of People/Day At Facility)</t>
  </si>
  <si>
    <t>TN Leaving the Septic Field 
(lbs/Yr)</t>
  </si>
  <si>
    <t>Estimated TN Load to Groundwater (Attenuated and Recharged)(Populates Based on Data Entries)
(lbs/Yr)</t>
  </si>
  <si>
    <t>TN Reduction Based on Enhancement or Sewering (Populates Based on Data Entries)
(lbs/Yr)</t>
  </si>
  <si>
    <t>High Recharge Rate</t>
  </si>
  <si>
    <t>Sewering</t>
  </si>
  <si>
    <t>Square Foot Methodology - Useful for Unknown Facility Types/Unknown Persons Per Day - May Underestimate Some Facilities</t>
  </si>
  <si>
    <t>Enter the Facility Name or Project Name</t>
  </si>
  <si>
    <t>Enter the Number of Septic Systems Sewered or Enhanced</t>
  </si>
  <si>
    <r>
      <t>Enter the Building Square Feet 
(ft</t>
    </r>
    <r>
      <rPr>
        <b/>
        <vertAlign val="superscript"/>
        <sz val="11"/>
        <color theme="1"/>
        <rFont val="Calibri"/>
        <family val="2"/>
        <scheme val="minor"/>
      </rPr>
      <t>2</t>
    </r>
    <r>
      <rPr>
        <b/>
        <sz val="11"/>
        <color theme="1"/>
        <rFont val="Calibri"/>
        <family val="2"/>
        <scheme val="minor"/>
      </rPr>
      <t>)</t>
    </r>
  </si>
  <si>
    <t xml:space="preserve">Enter the Treatment Recharge Area </t>
  </si>
  <si>
    <t>Annual Average TN (mg/L)</t>
  </si>
  <si>
    <t>Flow (GPD) = (Building sq ft/100)*15</t>
  </si>
  <si>
    <t>Annual Flow (MGD)</t>
  </si>
  <si>
    <t>Total Nitrogen Leaving the Septic Field
(lbs/Yr)</t>
  </si>
  <si>
    <t>Estimated Load to Groundwater (Recharge Applied)(Populates Based on Data Entries)
(lbs/Yr)</t>
  </si>
  <si>
    <t>Total Nitrogen Reduction Based on Enhancement or Sewering (Populates Based on Data Entries)
(lbs/Yr)</t>
  </si>
  <si>
    <t>Facility Type Methodology</t>
  </si>
  <si>
    <t>Type of Facility If Known (i.e. office space, restaurant, medical office, etc.)</t>
  </si>
  <si>
    <t>Determining Factor</t>
  </si>
  <si>
    <t>Number of Determining Factor</t>
  </si>
  <si>
    <t>Flow per Number of Determining Factor</t>
  </si>
  <si>
    <t>Pick the Project's Recharge Area (See Link Above for Recharge Areas)</t>
  </si>
  <si>
    <t>Annual Average TN Concentration (mg/L)</t>
  </si>
  <si>
    <t>Flow (GPD)(Populates Based on Data Entries)</t>
  </si>
  <si>
    <t>Annual Flow (MGD)(Populates Based on Data Entries)</t>
  </si>
  <si>
    <t>Nitrogen Input to Land (lbs/yr)(Populates Based on Data Entries)</t>
  </si>
  <si>
    <t>Estimated Load to Groundwater (Recharge Applied)(Populates Based on Data Entries)(lbs/Yr)</t>
  </si>
  <si>
    <t>Nitrogen Reduction Based on Enhancement or Sewering (Populates Based on Data Entries)(lbs/Yr)</t>
  </si>
  <si>
    <t>Facility Type (Enter Number of Determining Factor)</t>
  </si>
  <si>
    <t>Baker</t>
  </si>
  <si>
    <t>SPRINGS</t>
  </si>
  <si>
    <t>Can be used for: LSJM, WEKR, EWCO, OKEE, ALAF, MANA</t>
  </si>
  <si>
    <t>Must meet all additional guidelines.</t>
  </si>
  <si>
    <t>DEP Planning Method Modified from the SJRWMD Tool</t>
  </si>
  <si>
    <t>Suitable for estimating reductions for surface waterbodies, but not springs.</t>
  </si>
  <si>
    <t>NOTE: THIS TOOL IS INAPPROPRIATE FOR SPRINGS CALCS</t>
  </si>
  <si>
    <t>Maximum number of OSTDS - 50.</t>
  </si>
  <si>
    <t>Only complete green cells/Do not change the other cells</t>
  </si>
  <si>
    <t>Septic to Sewer Projects</t>
  </si>
  <si>
    <t>Enter the Project Name for Septic to Sewer Project</t>
  </si>
  <si>
    <t>Abandonment/Hookups Included in Cost 
(Yes = Y, No = N)</t>
  </si>
  <si>
    <t>Pick the County Where Project Is Located</t>
  </si>
  <si>
    <t>Enter the Total Number of Septic Systems in the Project Area (whole #)</t>
  </si>
  <si>
    <t>Enter the % Commitment by Property Owners to Hook Up</t>
  </si>
  <si>
    <t>Septic System TN Input (lbs/Yr)</t>
  </si>
  <si>
    <t>Attenuation (as a Multiplier) for Conventional Septic to Sewer (%)</t>
  </si>
  <si>
    <t>Existing Septic Systems Load to Surface (TN lbs/Yr)</t>
  </si>
  <si>
    <t>Load Reduction from Septic to Sewer Project 
(TN lbs/yr)</t>
  </si>
  <si>
    <t>Load Reduction from Septic to Sewer Project 
(TN lbs/yr) - Adjusted for % Commitment</t>
  </si>
  <si>
    <t>Notes</t>
  </si>
  <si>
    <t>Y</t>
  </si>
  <si>
    <t>Enhanced OSTDS/65% or More Nitrogen Treatment Systems</t>
  </si>
  <si>
    <t>Enter the Project Name for Nitrogen Enhanced/65% Wastewater Treatment System</t>
  </si>
  <si>
    <t>DEP Value: Septic System TN input (mg/L)</t>
  </si>
  <si>
    <t>DEP Value: % Attenuated (as a Multiplier)</t>
  </si>
  <si>
    <t>Reduction for Enhancement</t>
  </si>
  <si>
    <t>Existing Septic Systems Load to Surface
(TN lbs/yr)</t>
  </si>
  <si>
    <t>Difference in Load to Surface by Upgrading Conventional Systems (TN lbs/yr)</t>
  </si>
  <si>
    <t>Brevard</t>
  </si>
  <si>
    <t>Can be used for: ORCR, OKLA, HAMO</t>
  </si>
  <si>
    <r>
      <t xml:space="preserve">Suitable for a planning estimate </t>
    </r>
    <r>
      <rPr>
        <u/>
        <sz val="11"/>
        <color theme="1"/>
        <rFont val="Calibri"/>
        <family val="2"/>
        <scheme val="minor"/>
      </rPr>
      <t>for a lake.</t>
    </r>
  </si>
  <si>
    <r>
      <t xml:space="preserve">Suitable for phase out or enhancement estimate </t>
    </r>
    <r>
      <rPr>
        <u/>
        <sz val="11"/>
        <color theme="1"/>
        <rFont val="Calibri"/>
        <family val="2"/>
        <scheme val="minor"/>
      </rPr>
      <t>for a lake</t>
    </r>
    <r>
      <rPr>
        <sz val="11"/>
        <color theme="1"/>
        <rFont val="Calibri"/>
        <family val="2"/>
        <scheme val="minor"/>
      </rPr>
      <t>.</t>
    </r>
  </si>
  <si>
    <t>Note that you only count the number of OSTDS within 200 meters of a waterbody.</t>
  </si>
  <si>
    <t>Enter the # of Septic Systems Within 200 m of Waterbody, Properly Abandoned (Whole #)</t>
  </si>
  <si>
    <t>Persons per Household (Populates Automatically Based on County Selected)</t>
  </si>
  <si>
    <t>Average Individual Water Consumption (Gallons/Day)</t>
  </si>
  <si>
    <t>Flow Loss Rate (%)</t>
  </si>
  <si>
    <t>Nitrogen Load Per Person (lbs/Yr)</t>
  </si>
  <si>
    <t>Loss of TN During Seepage (Attenuation)(%)</t>
  </si>
  <si>
    <t>Total Nitrogen Load Reduction (lbs/Yr)</t>
  </si>
  <si>
    <t>Can be used for: BIRL, NIRL, CIRL, CALO, STLU</t>
  </si>
  <si>
    <r>
      <rPr>
        <b/>
        <sz val="11"/>
        <color theme="1"/>
        <rFont val="Calibri"/>
        <family val="2"/>
        <scheme val="minor"/>
      </rPr>
      <t xml:space="preserve">Availability: </t>
    </r>
    <r>
      <rPr>
        <sz val="11"/>
        <color theme="1"/>
        <rFont val="Calibri"/>
        <family val="2"/>
        <scheme val="minor"/>
      </rPr>
      <t>Free, Available to the public at https://github.com/ArcNLET-Py/</t>
    </r>
  </si>
  <si>
    <t>For IRL: Brevard County and Indian River County, the counties have run ArcNLET for the area. Contact the county for assistance to access these results.</t>
  </si>
  <si>
    <t xml:space="preserve">For CALO and STLU, DEP has developed an ArcNLET Load Estimation Tool which is available to entities. Contact your BMAP coordinator for outputs. </t>
  </si>
  <si>
    <t># of Persons Per Household (2020 Census)</t>
  </si>
  <si>
    <t>Surface Water Recharge Rate</t>
  </si>
  <si>
    <t>Low Recharge Rate</t>
  </si>
  <si>
    <t>Attenuation</t>
  </si>
  <si>
    <t>Enhancement</t>
  </si>
  <si>
    <t>Springs BMAP(s)</t>
  </si>
  <si>
    <t>Method</t>
  </si>
  <si>
    <t>Load per person</t>
  </si>
  <si>
    <t>Method Notes</t>
  </si>
  <si>
    <t>Alachua</t>
  </si>
  <si>
    <t>Silver/Santa Fe</t>
  </si>
  <si>
    <t>Valiela et al.</t>
  </si>
  <si>
    <t>9.012</t>
  </si>
  <si>
    <t>Note: if you use 9.012 lbs/person/yr TN and then disregard the 40% loss from tank and field, the revised formula would be:	
N Load=	9.012 lbs/TN/p/yr * x * y * 0.429
N Load=	3.866 lbs/TN/p/yr * x * y</t>
  </si>
  <si>
    <t>Santa Fe</t>
  </si>
  <si>
    <t>Bay</t>
  </si>
  <si>
    <t>Bradford</t>
  </si>
  <si>
    <t>Springs Attenuation</t>
  </si>
  <si>
    <t>Source Attenuation</t>
  </si>
  <si>
    <t>Attenuation Factor</t>
  </si>
  <si>
    <t>Broward</t>
  </si>
  <si>
    <t>AWT</t>
  </si>
  <si>
    <t>Calhoun</t>
  </si>
  <si>
    <t>Non-AWT</t>
  </si>
  <si>
    <t>Charlotte</t>
  </si>
  <si>
    <t>Wastewater Sprayfield</t>
  </si>
  <si>
    <t>.4</t>
  </si>
  <si>
    <t>Citrus</t>
  </si>
  <si>
    <t>Kings Bay/Homosassa Chassahowitzka</t>
  </si>
  <si>
    <t>Wastewater Reuse</t>
  </si>
  <si>
    <t>.25</t>
  </si>
  <si>
    <t>Clay</t>
  </si>
  <si>
    <t>Wastewater Rapid Infiltration Basin (RIB)</t>
  </si>
  <si>
    <t>.75</t>
  </si>
  <si>
    <t>Collier</t>
  </si>
  <si>
    <t>Conventional Septic System</t>
  </si>
  <si>
    <t>Assumption of same volume of wastewater pre and post hookup of OSTDS, thus pre/post concentration ratio is equal to pre/post load ratio.  For TN, ratio of AWT standard to mean STE is 3.0/61  = 0.049</t>
  </si>
  <si>
    <t>Columbia</t>
  </si>
  <si>
    <t>Farm Fertilizer</t>
  </si>
  <si>
    <t>.2</t>
  </si>
  <si>
    <t>Assumption of same volume of wastewater pre and post hookup of OSTDS, thus pre/post concentration ratio is equal to pre/post load ratio.  For TN, ratio typical WWTF effluent to mean STE is 10/61  = 0.164</t>
  </si>
  <si>
    <t>DeSoto</t>
  </si>
  <si>
    <t>Lawn Fertilizer</t>
  </si>
  <si>
    <t>Dixie</t>
  </si>
  <si>
    <t>Livestock on pasture</t>
  </si>
  <si>
    <t>.1</t>
  </si>
  <si>
    <t>Duval</t>
  </si>
  <si>
    <t>Escambia</t>
  </si>
  <si>
    <t>Surface Waters Attenuation</t>
  </si>
  <si>
    <t>Flagler</t>
  </si>
  <si>
    <t>Franklin</t>
  </si>
  <si>
    <t>Gadsden</t>
  </si>
  <si>
    <t>Wakulla</t>
  </si>
  <si>
    <t>Gilchrist</t>
  </si>
  <si>
    <t>Glades</t>
  </si>
  <si>
    <t>Gulf</t>
  </si>
  <si>
    <t>Hamilton</t>
  </si>
  <si>
    <t>Hardee</t>
  </si>
  <si>
    <t>Hendry</t>
  </si>
  <si>
    <t>Hernando</t>
  </si>
  <si>
    <t>Homosassa Chassahowtizka/ Weeki Wachee</t>
  </si>
  <si>
    <t>Multipliers based on table from springs guidance as of May 2021</t>
  </si>
  <si>
    <t>Multiplier</t>
  </si>
  <si>
    <t>Highlands</t>
  </si>
  <si>
    <t>Conventional</t>
  </si>
  <si>
    <t>Hillsborough</t>
  </si>
  <si>
    <t>Aerobic Treatment</t>
  </si>
  <si>
    <t>Holmes</t>
  </si>
  <si>
    <t>Performance based</t>
  </si>
  <si>
    <t>Indian River</t>
  </si>
  <si>
    <t>Recirc Media</t>
  </si>
  <si>
    <t>Jackson</t>
  </si>
  <si>
    <t>Lined Media</t>
  </si>
  <si>
    <t>Jefferson</t>
  </si>
  <si>
    <t>Wacissa/Wakulla</t>
  </si>
  <si>
    <t>Passive removal</t>
  </si>
  <si>
    <t>Lafayette</t>
  </si>
  <si>
    <t>Lake</t>
  </si>
  <si>
    <t>Silver</t>
  </si>
  <si>
    <t>Lee</t>
  </si>
  <si>
    <t>Leon</t>
  </si>
  <si>
    <t>Levy</t>
  </si>
  <si>
    <t>Rainbow/ Silver</t>
  </si>
  <si>
    <t>Liberty</t>
  </si>
  <si>
    <t>Madison</t>
  </si>
  <si>
    <t>Manatee</t>
  </si>
  <si>
    <t>Marion</t>
  </si>
  <si>
    <t>Martin</t>
  </si>
  <si>
    <t>Monroe</t>
  </si>
  <si>
    <t>Nassau</t>
  </si>
  <si>
    <t>Okaloosa</t>
  </si>
  <si>
    <t>Okeechobee</t>
  </si>
  <si>
    <t>Orange</t>
  </si>
  <si>
    <t>Wekiva</t>
  </si>
  <si>
    <t>Osceola</t>
  </si>
  <si>
    <t>Palm Beach</t>
  </si>
  <si>
    <t>Pasco</t>
  </si>
  <si>
    <t>Pinellas</t>
  </si>
  <si>
    <t>Polk</t>
  </si>
  <si>
    <t>Add citation for where this ^ and other screen shots of data references came from (e.g. NSILT technical report 2018)</t>
  </si>
  <si>
    <t>Putnam</t>
  </si>
  <si>
    <t>Santa Rosa</t>
  </si>
  <si>
    <t>Sarasota</t>
  </si>
  <si>
    <t>Seminole</t>
  </si>
  <si>
    <t>St. Johns</t>
  </si>
  <si>
    <t>St. Lucie</t>
  </si>
  <si>
    <t>Sumter</t>
  </si>
  <si>
    <t>Suwannee</t>
  </si>
  <si>
    <t>Taylor</t>
  </si>
  <si>
    <t>Union</t>
  </si>
  <si>
    <t>Volusia</t>
  </si>
  <si>
    <t>Gemini/ DeLeon</t>
  </si>
  <si>
    <t>Walton</t>
  </si>
  <si>
    <t>Washington</t>
  </si>
  <si>
    <t>SPRINGS COMMERCIAL CALC REFERENCES</t>
  </si>
  <si>
    <t>Number of Visitors Known Methodology</t>
  </si>
  <si>
    <t>Table and attenuation % taken directly from research paper</t>
  </si>
  <si>
    <t>Gurpal, T., et al. Onsite Sewage Treatment and Disposal Systems: Nitrogen, UF IAFS (2014).</t>
  </si>
  <si>
    <t>Source of nitrogen</t>
  </si>
  <si>
    <t>Contribution</t>
  </si>
  <si>
    <t>Grams per person per day</t>
  </si>
  <si>
    <t>Percent of total</t>
  </si>
  <si>
    <t>Kitchen sink</t>
  </si>
  <si>
    <t>Toilet</t>
  </si>
  <si>
    <t>Baths, sinks, appliances</t>
  </si>
  <si>
    <t>Total</t>
  </si>
  <si>
    <t xml:space="preserve">*Select the grams per day values that apply. Note that not all values will apply for all commercial applications. Kitchen sink and toilet are the default. Camp grounds or other facilities may include baths, sinks, and appliances. </t>
  </si>
  <si>
    <t>Office building</t>
  </si>
  <si>
    <t xml:space="preserve"> </t>
  </si>
  <si>
    <t xml:space="preserve">per 100 square feet of floor space, whichever is greater </t>
  </si>
  <si>
    <t>*This is a low estimate and may be higher if the space is a different type of commercial use such as a restaurant.</t>
  </si>
  <si>
    <t>Lowe et al. 2009</t>
  </si>
  <si>
    <t># of Persons Per Household (2014-2018 Average)</t>
  </si>
  <si>
    <t>.5</t>
  </si>
  <si>
    <t>Average GPD per Determining Factor</t>
  </si>
  <si>
    <t>Airports, bus terminals, train stations, ports and docks (enter number of passengers per day)</t>
  </si>
  <si>
    <t>Passengers per day</t>
  </si>
  <si>
    <t>Did not add employees</t>
  </si>
  <si>
    <t>Barber or beauty shop (enter number of service chairs)</t>
  </si>
  <si>
    <t>Number of service chairs</t>
  </si>
  <si>
    <t>Doctor and Dentist offices (enter number of practitioners)</t>
  </si>
  <si>
    <t>Number of practitioners</t>
  </si>
  <si>
    <t>Approximated 3 employees per practitioner</t>
  </si>
  <si>
    <t>Factories - not including industrial waste (enter number of employees per 8 hour shift)</t>
  </si>
  <si>
    <t>Number of employees</t>
  </si>
  <si>
    <t>Took average between showers provided and no showers provided</t>
  </si>
  <si>
    <t>Food operations (enter number of seats)</t>
  </si>
  <si>
    <t>Number of seats</t>
  </si>
  <si>
    <t>Took average between open less than 16 hours and day and more than 16 hours per day</t>
  </si>
  <si>
    <t>Bar or cocktail lounge (enter number of seats)</t>
  </si>
  <si>
    <t>Hotels/Motels (enter number of rooms)</t>
  </si>
  <si>
    <t>Number of rooms</t>
  </si>
  <si>
    <t>Took average between regular hotels and resort/camp/cottage hotels. Did not add in self service laundry facility</t>
  </si>
  <si>
    <t>Office building (enter square footage)</t>
  </si>
  <si>
    <t>Square footage</t>
  </si>
  <si>
    <t>Transient Recreational Vehicle Park (enter number of vehicle spaces)</t>
  </si>
  <si>
    <t>Number of spaces for vehicles</t>
  </si>
  <si>
    <t>Average between having and not having water and sewer hookup</t>
  </si>
  <si>
    <t>Service stations (enter number of water closets)</t>
  </si>
  <si>
    <t>Number of water closets</t>
  </si>
  <si>
    <t>Average between open less than or more than 16 hours/day</t>
  </si>
  <si>
    <t>Stadiums, race tracks, ball parks, theaters, or auditoriums (enter number of seats)</t>
  </si>
  <si>
    <t>Veterinary Clinics (enter number of practitioners)</t>
  </si>
  <si>
    <t>Used per practitioner rate + 7 kennels (average per practitioner)* per kennel flow rate + 3 employees (average per practitioner) * per employee flow rate</t>
  </si>
  <si>
    <t>Warehouse (enter number of loading bays)</t>
  </si>
  <si>
    <t>Number of loading bays</t>
  </si>
  <si>
    <t>The DOH guidance says to add 15 GPD/employee per 8 hour shift, but I don't have a way to average number of employees per bay.</t>
  </si>
  <si>
    <t>Churches (enter number of seats)</t>
  </si>
  <si>
    <t>Hospitals (enter number of beds)</t>
  </si>
  <si>
    <t>Number of beds</t>
  </si>
  <si>
    <t>Added in 1.5 meals/bed</t>
  </si>
  <si>
    <t>Nursing homes or other adult congregate facilities (enter number of beds)</t>
  </si>
  <si>
    <t>Added in 3 meals/bed</t>
  </si>
  <si>
    <t>Schools (enter number of students)</t>
  </si>
  <si>
    <t>Number of students</t>
  </si>
  <si>
    <t>This includes flows for day-type schools, cafeteria, and school workers</t>
  </si>
  <si>
    <t>Enhanced OSTDS</t>
  </si>
  <si>
    <t>This tool only provides TN reductions. The only currently approved method for TP reductions estimates is ArcNLET-Py.</t>
  </si>
  <si>
    <t>Recharge areas GIS files can be downloaded here:  https://floridadep.gov/dear/water-quality-restoration/documents/full-recharge-2025-shapefile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</si>
</sst>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3" formatCode="_(* #,##0.00_);_(* \(#,##0.00\);_(* &quot;-&quot;??_);_(@_)"/>
    <numFmt numFmtId="164" formatCode="0.0"/>
    <numFmt numFmtId="165" formatCode="_(* #,##0_);_(* \(#,##0\);_(*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name val="Calibri"/>
      <family val="2"/>
      <scheme val="minor"/>
    </font>
    <font>
      <b/>
      <u/>
      <sz val="11"/>
      <color theme="1"/>
      <name val="Calibri"/>
      <family val="2"/>
      <scheme val="minor"/>
    </font>
    <font>
      <b/>
      <i/>
      <sz val="11"/>
      <color theme="9"/>
      <name val="Calibri"/>
      <family val="2"/>
      <scheme val="minor"/>
    </font>
    <font>
      <b/>
      <i/>
      <sz val="11"/>
      <color theme="5" tint="-0.499984740745262"/>
      <name val="Calibri"/>
      <family val="2"/>
      <scheme val="minor"/>
    </font>
    <font>
      <u/>
      <sz val="11"/>
      <color theme="10"/>
      <name val="Calibri"/>
      <family val="2"/>
      <scheme val="minor"/>
    </font>
    <font>
      <b/>
      <sz val="10"/>
      <color theme="1"/>
      <name val="Times New Roman"/>
      <family val="1"/>
    </font>
    <font>
      <b/>
      <sz val="10"/>
      <name val="Times New Roman"/>
      <family val="1"/>
    </font>
    <font>
      <sz val="10"/>
      <color theme="1"/>
      <name val="Times New Roman"/>
      <family val="1"/>
    </font>
    <font>
      <b/>
      <sz val="10"/>
      <color theme="8" tint="-0.249977111117893"/>
      <name val="Times New Roman"/>
      <family val="1"/>
    </font>
    <font>
      <i/>
      <sz val="11"/>
      <color rgb="FF000000"/>
      <name val="Calibri"/>
      <family val="2"/>
    </font>
    <font>
      <b/>
      <i/>
      <sz val="11"/>
      <color rgb="FF000000"/>
      <name val="Calibri"/>
      <family val="2"/>
    </font>
    <font>
      <sz val="11"/>
      <color theme="1"/>
      <name val="Calibri"/>
      <family val="2"/>
    </font>
    <font>
      <b/>
      <sz val="9"/>
      <color rgb="FF000000"/>
      <name val="Arial"/>
      <family val="2"/>
    </font>
    <font>
      <sz val="9"/>
      <color rgb="FF000000"/>
      <name val="Arial"/>
      <family val="2"/>
    </font>
    <font>
      <sz val="11"/>
      <color rgb="FFFF0000"/>
      <name val="Calibri"/>
      <family val="2"/>
    </font>
    <font>
      <sz val="10"/>
      <color rgb="FF000000"/>
      <name val="Times New Roman"/>
      <family val="1"/>
    </font>
    <font>
      <b/>
      <i/>
      <sz val="11"/>
      <name val="Calibri"/>
      <family val="2"/>
      <scheme val="minor"/>
    </font>
    <font>
      <u/>
      <sz val="11"/>
      <color theme="1"/>
      <name val="Calibri"/>
      <family val="2"/>
      <scheme val="minor"/>
    </font>
    <font>
      <b/>
      <sz val="14"/>
      <color theme="0"/>
      <name val="Calibri"/>
      <family val="2"/>
      <scheme val="minor"/>
    </font>
    <font>
      <i/>
      <sz val="10"/>
      <color theme="1"/>
      <name val="Times New Roman"/>
      <family val="1"/>
    </font>
    <font>
      <i/>
      <sz val="11"/>
      <color theme="1"/>
      <name val="Calibri"/>
      <family val="2"/>
      <scheme val="minor"/>
    </font>
    <font>
      <b/>
      <vertAlign val="superscript"/>
      <sz val="11"/>
      <color theme="1"/>
      <name val="Calibri"/>
      <family val="2"/>
      <scheme val="minor"/>
    </font>
    <font>
      <sz val="11"/>
      <color rgb="FFFF0000"/>
      <name val="Calibri"/>
      <family val="2"/>
      <scheme val="minor"/>
    </font>
    <font>
      <b/>
      <sz val="11"/>
      <color rgb="FFFF0000"/>
      <name val="Calibri"/>
      <family val="2"/>
      <scheme val="minor"/>
    </font>
    <font>
      <sz val="12"/>
      <name val="Calibri"/>
      <family val="2"/>
    </font>
  </fonts>
  <fills count="19">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E4DFEC"/>
        <bgColor rgb="FF000000"/>
      </patternFill>
    </fill>
    <fill>
      <patternFill patternType="solid">
        <fgColor rgb="FFFFFFFF"/>
        <bgColor rgb="FF000000"/>
      </patternFill>
    </fill>
    <fill>
      <patternFill patternType="solid">
        <fgColor theme="5" tint="0.79998168889431442"/>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style="medium">
        <color rgb="FF999999"/>
      </right>
      <top style="medium">
        <color indexed="64"/>
      </top>
      <bottom style="medium">
        <color rgb="FF999999"/>
      </bottom>
      <diagonal/>
    </border>
    <border>
      <left style="medium">
        <color rgb="FF999999"/>
      </left>
      <right/>
      <top style="medium">
        <color indexed="64"/>
      </top>
      <bottom style="medium">
        <color rgb="FF999999"/>
      </bottom>
      <diagonal/>
    </border>
    <border>
      <left/>
      <right style="medium">
        <color indexed="64"/>
      </right>
      <top style="medium">
        <color indexed="64"/>
      </top>
      <bottom style="medium">
        <color rgb="FF999999"/>
      </bottom>
      <diagonal/>
    </border>
    <border>
      <left style="medium">
        <color indexed="64"/>
      </left>
      <right style="medium">
        <color rgb="FF999999"/>
      </right>
      <top style="medium">
        <color rgb="FF999999"/>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rgb="FF999999"/>
      </left>
      <right style="medium">
        <color indexed="64"/>
      </right>
      <top style="medium">
        <color rgb="FF999999"/>
      </top>
      <bottom style="medium">
        <color rgb="FF999999"/>
      </bottom>
      <diagonal/>
    </border>
    <border>
      <left style="medium">
        <color indexed="64"/>
      </left>
      <right style="medium">
        <color rgb="FF999999"/>
      </right>
      <top style="medium">
        <color rgb="FF999999"/>
      </top>
      <bottom style="medium">
        <color indexed="64"/>
      </bottom>
      <diagonal/>
    </border>
    <border>
      <left style="medium">
        <color rgb="FF999999"/>
      </left>
      <right style="medium">
        <color rgb="FF999999"/>
      </right>
      <top style="medium">
        <color rgb="FF999999"/>
      </top>
      <bottom style="medium">
        <color indexed="64"/>
      </bottom>
      <diagonal/>
    </border>
    <border>
      <left style="medium">
        <color rgb="FF999999"/>
      </left>
      <right style="medium">
        <color indexed="64"/>
      </right>
      <top style="medium">
        <color rgb="FF999999"/>
      </top>
      <bottom style="medium">
        <color indexed="64"/>
      </bottom>
      <diagonal/>
    </border>
    <border>
      <left/>
      <right/>
      <top style="medium">
        <color indexed="64"/>
      </top>
      <bottom style="medium">
        <color rgb="FF999999"/>
      </bottom>
      <diagonal/>
    </border>
    <border>
      <left/>
      <right style="medium">
        <color rgb="FF999999"/>
      </right>
      <top style="medium">
        <color rgb="FF999999"/>
      </top>
      <bottom style="medium">
        <color rgb="FF999999"/>
      </bottom>
      <diagonal/>
    </border>
    <border>
      <left/>
      <right style="medium">
        <color rgb="FF999999"/>
      </right>
      <top style="medium">
        <color rgb="FF999999"/>
      </top>
      <bottom style="medium">
        <color indexed="64"/>
      </bottom>
      <diagonal/>
    </border>
    <border>
      <left style="medium">
        <color rgb="FF999999"/>
      </left>
      <right/>
      <top style="medium">
        <color rgb="FF999999"/>
      </top>
      <bottom style="medium">
        <color rgb="FF999999"/>
      </bottom>
      <diagonal/>
    </border>
    <border>
      <left style="medium">
        <color rgb="FF999999"/>
      </left>
      <right/>
      <top style="medium">
        <color rgb="FF999999"/>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223">
    <xf numFmtId="0" fontId="0" fillId="0" borderId="0" xfId="0"/>
    <xf numFmtId="0" fontId="0" fillId="0" borderId="0" xfId="0" applyAlignment="1">
      <alignment wrapText="1"/>
    </xf>
    <xf numFmtId="0" fontId="2" fillId="2" borderId="1" xfId="0" applyFont="1" applyFill="1" applyBorder="1" applyAlignment="1">
      <alignment wrapText="1"/>
    </xf>
    <xf numFmtId="0" fontId="2" fillId="0" borderId="0" xfId="0" applyFont="1"/>
    <xf numFmtId="0" fontId="3" fillId="0" borderId="0" xfId="0" applyFont="1"/>
    <xf numFmtId="0" fontId="0" fillId="0" borderId="1" xfId="0" applyBorder="1"/>
    <xf numFmtId="0" fontId="0" fillId="0" borderId="1" xfId="0" applyBorder="1" applyAlignment="1">
      <alignment horizontal="center"/>
    </xf>
    <xf numFmtId="0" fontId="0" fillId="5" borderId="1" xfId="0" applyFill="1" applyBorder="1" applyAlignment="1">
      <alignment horizontal="left" vertical="center" wrapText="1"/>
    </xf>
    <xf numFmtId="0" fontId="0" fillId="0" borderId="0" xfId="0" applyAlignment="1">
      <alignment vertical="center"/>
    </xf>
    <xf numFmtId="0" fontId="0" fillId="5" borderId="1" xfId="0" applyFill="1" applyBorder="1" applyAlignment="1">
      <alignment vertical="center"/>
    </xf>
    <xf numFmtId="0" fontId="0" fillId="5" borderId="1" xfId="0" applyFill="1" applyBorder="1" applyAlignment="1">
      <alignment vertical="center" wrapText="1"/>
    </xf>
    <xf numFmtId="0" fontId="7" fillId="0" borderId="0" xfId="0" applyFont="1"/>
    <xf numFmtId="0" fontId="11" fillId="4" borderId="1" xfId="0" applyFont="1" applyFill="1" applyBorder="1" applyAlignment="1">
      <alignment horizontal="center"/>
    </xf>
    <xf numFmtId="0" fontId="11" fillId="4" borderId="1" xfId="0" applyFont="1" applyFill="1" applyBorder="1" applyAlignment="1">
      <alignment horizontal="center" wrapText="1"/>
    </xf>
    <xf numFmtId="0" fontId="2" fillId="10" borderId="1" xfId="0" applyFont="1" applyFill="1" applyBorder="1" applyAlignment="1">
      <alignment horizontal="center" wrapText="1"/>
    </xf>
    <xf numFmtId="0" fontId="15" fillId="11" borderId="10" xfId="0" applyFont="1" applyFill="1" applyBorder="1"/>
    <xf numFmtId="0" fontId="16" fillId="11" borderId="10" xfId="0" applyFont="1" applyFill="1" applyBorder="1"/>
    <xf numFmtId="0" fontId="16" fillId="11" borderId="6" xfId="0" applyFont="1" applyFill="1" applyBorder="1"/>
    <xf numFmtId="0" fontId="17" fillId="12" borderId="11" xfId="0" applyFont="1" applyFill="1" applyBorder="1" applyAlignment="1">
      <alignment vertical="center"/>
    </xf>
    <xf numFmtId="0" fontId="16" fillId="11" borderId="0" xfId="0" applyFont="1" applyFill="1"/>
    <xf numFmtId="0" fontId="16" fillId="11" borderId="9" xfId="0" applyFont="1" applyFill="1" applyBorder="1"/>
    <xf numFmtId="0" fontId="18" fillId="12" borderId="14" xfId="0" applyFont="1" applyFill="1" applyBorder="1" applyAlignment="1">
      <alignment vertical="center" wrapText="1"/>
    </xf>
    <xf numFmtId="0" fontId="17" fillId="12" borderId="15" xfId="0" applyFont="1" applyFill="1" applyBorder="1" applyAlignment="1">
      <alignment horizontal="center" vertical="center" wrapText="1"/>
    </xf>
    <xf numFmtId="0" fontId="17" fillId="12" borderId="16" xfId="0" applyFont="1" applyFill="1" applyBorder="1" applyAlignment="1">
      <alignment horizontal="center" vertical="center" wrapText="1"/>
    </xf>
    <xf numFmtId="0" fontId="19" fillId="11" borderId="9" xfId="0" applyFont="1" applyFill="1" applyBorder="1"/>
    <xf numFmtId="0" fontId="18" fillId="12" borderId="15" xfId="0" applyFont="1" applyFill="1" applyBorder="1" applyAlignment="1">
      <alignment horizontal="center" vertical="center" wrapText="1"/>
    </xf>
    <xf numFmtId="0" fontId="18" fillId="12" borderId="16" xfId="0" applyFont="1" applyFill="1" applyBorder="1" applyAlignment="1">
      <alignment horizontal="center" vertical="center" wrapText="1"/>
    </xf>
    <xf numFmtId="0" fontId="18" fillId="12" borderId="17" xfId="0" applyFont="1" applyFill="1" applyBorder="1" applyAlignment="1">
      <alignment vertical="center" wrapText="1"/>
    </xf>
    <xf numFmtId="0" fontId="18" fillId="12" borderId="18" xfId="0" applyFont="1" applyFill="1" applyBorder="1" applyAlignment="1">
      <alignment horizontal="center" vertical="center" wrapText="1"/>
    </xf>
    <xf numFmtId="0" fontId="18" fillId="12" borderId="19" xfId="0" applyFont="1" applyFill="1" applyBorder="1" applyAlignment="1">
      <alignment horizontal="center" vertical="center" wrapText="1"/>
    </xf>
    <xf numFmtId="0" fontId="20" fillId="0" borderId="0" xfId="0" applyFont="1" applyAlignment="1">
      <alignment horizontal="justify" vertical="center" wrapText="1"/>
    </xf>
    <xf numFmtId="0" fontId="20" fillId="0" borderId="0" xfId="0" applyFont="1" applyAlignment="1">
      <alignment horizontal="right" vertical="center" wrapText="1"/>
    </xf>
    <xf numFmtId="0" fontId="8" fillId="13" borderId="0" xfId="0" applyFont="1" applyFill="1"/>
    <xf numFmtId="0" fontId="2" fillId="6" borderId="1" xfId="0" applyFont="1" applyFill="1" applyBorder="1" applyAlignment="1">
      <alignment horizontal="center" wrapText="1"/>
    </xf>
    <xf numFmtId="0" fontId="0" fillId="0" borderId="0" xfId="0" applyAlignment="1">
      <alignment horizontal="center"/>
    </xf>
    <xf numFmtId="0" fontId="17" fillId="12" borderId="20" xfId="0" applyFont="1" applyFill="1" applyBorder="1" applyAlignment="1">
      <alignment vertical="center"/>
    </xf>
    <xf numFmtId="0" fontId="18" fillId="12" borderId="21" xfId="0" applyFont="1" applyFill="1" applyBorder="1" applyAlignment="1">
      <alignment vertical="center" wrapText="1"/>
    </xf>
    <xf numFmtId="0" fontId="18" fillId="12" borderId="22" xfId="0" applyFont="1" applyFill="1" applyBorder="1" applyAlignment="1">
      <alignment vertical="center" wrapText="1"/>
    </xf>
    <xf numFmtId="0" fontId="17" fillId="12" borderId="23" xfId="0" applyFont="1" applyFill="1" applyBorder="1" applyAlignment="1">
      <alignment horizontal="center" vertical="center" wrapText="1"/>
    </xf>
    <xf numFmtId="0" fontId="18" fillId="12" borderId="23" xfId="0" applyFont="1" applyFill="1" applyBorder="1" applyAlignment="1">
      <alignment horizontal="center" vertical="center" wrapText="1"/>
    </xf>
    <xf numFmtId="0" fontId="18" fillId="12" borderId="24" xfId="0" applyFont="1" applyFill="1" applyBorder="1" applyAlignment="1">
      <alignment horizontal="center" vertical="center" wrapText="1"/>
    </xf>
    <xf numFmtId="0" fontId="2" fillId="0" borderId="0" xfId="0" applyFont="1" applyAlignment="1">
      <alignment horizontal="center" wrapText="1"/>
    </xf>
    <xf numFmtId="0" fontId="0" fillId="0" borderId="10" xfId="0" applyBorder="1"/>
    <xf numFmtId="0" fontId="0" fillId="0" borderId="10" xfId="0" applyBorder="1" applyAlignment="1">
      <alignment horizontal="center"/>
    </xf>
    <xf numFmtId="0" fontId="0" fillId="0" borderId="8" xfId="0" applyBorder="1"/>
    <xf numFmtId="0" fontId="0" fillId="0" borderId="1" xfId="0" applyBorder="1" applyAlignment="1">
      <alignment wrapText="1"/>
    </xf>
    <xf numFmtId="0" fontId="2" fillId="15" borderId="1" xfId="0" applyFont="1" applyFill="1" applyBorder="1" applyAlignment="1">
      <alignment horizontal="center" wrapText="1"/>
    </xf>
    <xf numFmtId="0" fontId="2" fillId="15" borderId="1" xfId="0" applyFont="1" applyFill="1" applyBorder="1"/>
    <xf numFmtId="49" fontId="0" fillId="0" borderId="1" xfId="0" applyNumberFormat="1" applyBorder="1" applyAlignment="1">
      <alignment horizontal="center" wrapText="1"/>
    </xf>
    <xf numFmtId="0" fontId="2" fillId="9" borderId="0" xfId="0" applyFont="1" applyFill="1"/>
    <xf numFmtId="0" fontId="2" fillId="0" borderId="8" xfId="0" applyFont="1" applyBorder="1"/>
    <xf numFmtId="9" fontId="0" fillId="0" borderId="10" xfId="1" applyFont="1" applyFill="1" applyBorder="1" applyAlignment="1">
      <alignment horizontal="center" vertical="center"/>
    </xf>
    <xf numFmtId="9" fontId="0" fillId="0" borderId="0" xfId="1" applyFont="1" applyFill="1" applyBorder="1" applyAlignment="1">
      <alignment horizontal="center" vertical="center"/>
    </xf>
    <xf numFmtId="0" fontId="2" fillId="16" borderId="0" xfId="0" applyFont="1" applyFill="1"/>
    <xf numFmtId="0" fontId="2" fillId="17" borderId="1" xfId="0" applyFont="1" applyFill="1" applyBorder="1" applyAlignment="1">
      <alignment horizontal="center" wrapText="1"/>
    </xf>
    <xf numFmtId="0" fontId="0" fillId="16" borderId="0" xfId="0" applyFill="1"/>
    <xf numFmtId="0" fontId="0" fillId="0" borderId="1" xfId="0" applyBorder="1" applyAlignment="1">
      <alignment horizontal="center" vertical="center"/>
    </xf>
    <xf numFmtId="0" fontId="5" fillId="0" borderId="10" xfId="0" applyFont="1" applyBorder="1" applyAlignment="1">
      <alignment vertical="top" wrapText="1"/>
    </xf>
    <xf numFmtId="0" fontId="0" fillId="0" borderId="10" xfId="0" applyBorder="1" applyAlignment="1">
      <alignment horizontal="center" vertical="center"/>
    </xf>
    <xf numFmtId="1" fontId="0" fillId="0" borderId="10" xfId="0" applyNumberFormat="1" applyBorder="1" applyAlignment="1">
      <alignment horizontal="center" vertical="center"/>
    </xf>
    <xf numFmtId="164" fontId="0" fillId="0" borderId="10" xfId="0" applyNumberFormat="1" applyBorder="1" applyAlignment="1">
      <alignment horizontal="center" vertical="center"/>
    </xf>
    <xf numFmtId="37" fontId="0" fillId="0" borderId="10" xfId="0" applyNumberFormat="1" applyBorder="1" applyAlignment="1">
      <alignment horizontal="center" vertical="center"/>
    </xf>
    <xf numFmtId="37" fontId="0" fillId="0" borderId="10" xfId="0" applyNumberFormat="1" applyBorder="1" applyAlignment="1">
      <alignment horizontal="left" vertical="top" wrapText="1"/>
    </xf>
    <xf numFmtId="0" fontId="5" fillId="0" borderId="0" xfId="0" applyFont="1" applyAlignment="1">
      <alignment vertical="top" wrapText="1"/>
    </xf>
    <xf numFmtId="0" fontId="0" fillId="0" borderId="0" xfId="0" applyAlignment="1">
      <alignment horizontal="center" vertical="center"/>
    </xf>
    <xf numFmtId="1" fontId="0" fillId="0" borderId="0" xfId="0" applyNumberFormat="1" applyAlignment="1">
      <alignment horizontal="center" vertical="center"/>
    </xf>
    <xf numFmtId="164" fontId="0" fillId="0" borderId="0" xfId="0" applyNumberFormat="1" applyAlignment="1">
      <alignment horizontal="center" vertical="center"/>
    </xf>
    <xf numFmtId="37" fontId="0" fillId="0" borderId="0" xfId="0" applyNumberFormat="1" applyAlignment="1">
      <alignment horizontal="center" vertical="center"/>
    </xf>
    <xf numFmtId="37" fontId="0" fillId="0" borderId="0" xfId="0" applyNumberFormat="1" applyAlignment="1">
      <alignment horizontal="left" vertical="top" wrapText="1"/>
    </xf>
    <xf numFmtId="0" fontId="0" fillId="0" borderId="0" xfId="0" applyAlignment="1">
      <alignment horizontal="center" vertical="top"/>
    </xf>
    <xf numFmtId="1" fontId="0" fillId="0" borderId="0" xfId="0" applyNumberFormat="1" applyAlignment="1">
      <alignment horizontal="center" vertical="top"/>
    </xf>
    <xf numFmtId="7" fontId="0" fillId="0" borderId="0" xfId="0" applyNumberFormat="1"/>
    <xf numFmtId="0" fontId="0" fillId="0" borderId="1" xfId="0" applyBorder="1" applyAlignment="1">
      <alignment horizontal="center" vertical="top"/>
    </xf>
    <xf numFmtId="43" fontId="0" fillId="0" borderId="0" xfId="0" applyNumberFormat="1"/>
    <xf numFmtId="0" fontId="2" fillId="17" borderId="1" xfId="0" applyFont="1" applyFill="1" applyBorder="1"/>
    <xf numFmtId="0" fontId="2" fillId="0" borderId="1" xfId="0" applyFont="1" applyBorder="1" applyAlignment="1">
      <alignment wrapText="1"/>
    </xf>
    <xf numFmtId="0" fontId="0" fillId="0" borderId="0" xfId="0" applyAlignment="1">
      <alignment vertical="center" wrapText="1"/>
    </xf>
    <xf numFmtId="0" fontId="2" fillId="8" borderId="1" xfId="0" applyFont="1" applyFill="1" applyBorder="1" applyAlignment="1">
      <alignment horizontal="center" wrapText="1"/>
    </xf>
    <xf numFmtId="165" fontId="0" fillId="8" borderId="1" xfId="2" applyNumberFormat="1" applyFont="1" applyFill="1" applyBorder="1"/>
    <xf numFmtId="165" fontId="0" fillId="8" borderId="1" xfId="2" applyNumberFormat="1" applyFont="1" applyFill="1" applyBorder="1" applyAlignment="1">
      <alignment vertical="center"/>
    </xf>
    <xf numFmtId="37" fontId="0" fillId="0" borderId="1" xfId="0" applyNumberFormat="1" applyBorder="1" applyAlignment="1">
      <alignment horizontal="left" vertical="top"/>
    </xf>
    <xf numFmtId="0" fontId="0" fillId="18" borderId="0" xfId="0" applyFill="1" applyAlignment="1">
      <alignment horizontal="center"/>
    </xf>
    <xf numFmtId="0" fontId="2" fillId="0" borderId="0" xfId="0" applyFont="1" applyAlignment="1">
      <alignment horizontal="center"/>
    </xf>
    <xf numFmtId="0" fontId="0" fillId="16" borderId="0" xfId="0" applyFill="1" applyAlignment="1">
      <alignment horizontal="center"/>
    </xf>
    <xf numFmtId="0" fontId="5" fillId="0" borderId="10" xfId="0" applyFont="1" applyBorder="1" applyAlignment="1">
      <alignment horizontal="center" vertical="top" wrapText="1"/>
    </xf>
    <xf numFmtId="0" fontId="5" fillId="0" borderId="0" xfId="0" applyFont="1" applyAlignment="1">
      <alignment horizontal="center" vertical="top" wrapText="1"/>
    </xf>
    <xf numFmtId="37" fontId="0" fillId="8" borderId="1" xfId="0" applyNumberFormat="1" applyFill="1" applyBorder="1" applyAlignment="1">
      <alignment horizontal="right" vertical="center"/>
    </xf>
    <xf numFmtId="0" fontId="0" fillId="0" borderId="1" xfId="0" applyBorder="1" applyAlignment="1">
      <alignment horizontal="center" wrapText="1"/>
    </xf>
    <xf numFmtId="0" fontId="0" fillId="0" borderId="0" xfId="0" applyAlignment="1">
      <alignment horizontal="left" wrapText="1"/>
    </xf>
    <xf numFmtId="0" fontId="0" fillId="0" borderId="0" xfId="0" applyAlignment="1">
      <alignment horizontal="left"/>
    </xf>
    <xf numFmtId="0" fontId="2" fillId="17" borderId="1" xfId="0" applyFont="1" applyFill="1" applyBorder="1" applyAlignment="1">
      <alignment wrapText="1"/>
    </xf>
    <xf numFmtId="9" fontId="0" fillId="0" borderId="1" xfId="1" applyFont="1" applyBorder="1" applyAlignment="1">
      <alignment horizontal="center" vertical="top"/>
    </xf>
    <xf numFmtId="9" fontId="0" fillId="0" borderId="1" xfId="1" applyFont="1" applyBorder="1" applyAlignment="1">
      <alignment horizontal="center" vertical="center"/>
    </xf>
    <xf numFmtId="9" fontId="2" fillId="10" borderId="1" xfId="1" applyFont="1" applyFill="1" applyBorder="1" applyAlignment="1">
      <alignment horizontal="center" wrapText="1"/>
    </xf>
    <xf numFmtId="9" fontId="0" fillId="0" borderId="1" xfId="1" applyFont="1" applyBorder="1"/>
    <xf numFmtId="0" fontId="0" fillId="5" borderId="5" xfId="0" applyFill="1" applyBorder="1" applyAlignment="1">
      <alignment vertical="center" wrapText="1"/>
    </xf>
    <xf numFmtId="0" fontId="2" fillId="5" borderId="1" xfId="0" applyFont="1" applyFill="1" applyBorder="1"/>
    <xf numFmtId="0" fontId="0" fillId="5" borderId="1" xfId="0" applyFill="1" applyBorder="1"/>
    <xf numFmtId="0" fontId="21" fillId="5" borderId="1" xfId="0" applyFont="1" applyFill="1" applyBorder="1"/>
    <xf numFmtId="0" fontId="4" fillId="0" borderId="1" xfId="0" applyFont="1" applyBorder="1"/>
    <xf numFmtId="0" fontId="2" fillId="3" borderId="4" xfId="0" applyFont="1" applyFill="1" applyBorder="1" applyAlignment="1">
      <alignment wrapText="1"/>
    </xf>
    <xf numFmtId="0" fontId="0" fillId="4" borderId="4" xfId="0" applyFill="1" applyBorder="1" applyAlignment="1">
      <alignment vertical="center" wrapText="1"/>
    </xf>
    <xf numFmtId="0" fontId="2" fillId="5" borderId="1" xfId="0" applyFont="1" applyFill="1" applyBorder="1" applyAlignment="1">
      <alignment horizontal="left"/>
    </xf>
    <xf numFmtId="0" fontId="21" fillId="5" borderId="1" xfId="0" applyFont="1" applyFill="1" applyBorder="1" applyAlignment="1">
      <alignment wrapText="1"/>
    </xf>
    <xf numFmtId="0" fontId="9" fillId="0" borderId="1" xfId="3" applyFill="1" applyBorder="1" applyAlignment="1">
      <alignment horizontal="left" wrapText="1"/>
    </xf>
    <xf numFmtId="0" fontId="3" fillId="0" borderId="1" xfId="0" applyFont="1" applyBorder="1" applyAlignment="1">
      <alignment wrapText="1"/>
    </xf>
    <xf numFmtId="0" fontId="2" fillId="0" borderId="1" xfId="0" applyFont="1" applyBorder="1"/>
    <xf numFmtId="0" fontId="8" fillId="13" borderId="1" xfId="0" applyFont="1" applyFill="1" applyBorder="1"/>
    <xf numFmtId="0" fontId="3" fillId="0" borderId="1" xfId="0" applyFont="1" applyBorder="1"/>
    <xf numFmtId="0" fontId="21" fillId="18" borderId="0" xfId="0" applyFont="1" applyFill="1"/>
    <xf numFmtId="0" fontId="2" fillId="8" borderId="0" xfId="0" applyFont="1" applyFill="1"/>
    <xf numFmtId="0" fontId="0" fillId="8" borderId="0" xfId="0" applyFill="1"/>
    <xf numFmtId="0" fontId="2" fillId="0" borderId="0" xfId="0" applyFont="1" applyAlignment="1">
      <alignment vertical="center"/>
    </xf>
    <xf numFmtId="0" fontId="2" fillId="0" borderId="0" xfId="0" applyFont="1" applyAlignment="1">
      <alignment vertical="top"/>
    </xf>
    <xf numFmtId="0" fontId="2" fillId="5" borderId="0" xfId="0" applyFont="1" applyFill="1" applyProtection="1">
      <protection locked="0"/>
    </xf>
    <xf numFmtId="0" fontId="0" fillId="5" borderId="0" xfId="0" applyFill="1" applyProtection="1">
      <protection locked="0"/>
    </xf>
    <xf numFmtId="0" fontId="0" fillId="0" borderId="0" xfId="0" applyProtection="1">
      <protection locked="0"/>
    </xf>
    <xf numFmtId="0" fontId="21" fillId="5" borderId="0" xfId="0" applyFont="1" applyFill="1" applyProtection="1">
      <protection locked="0"/>
    </xf>
    <xf numFmtId="0" fontId="2" fillId="0" borderId="0" xfId="0" applyFont="1" applyProtection="1">
      <protection locked="0"/>
    </xf>
    <xf numFmtId="0" fontId="25" fillId="0" borderId="0" xfId="0" applyFont="1" applyProtection="1">
      <protection locked="0"/>
    </xf>
    <xf numFmtId="0" fontId="25" fillId="0" borderId="0" xfId="0" applyFont="1" applyAlignment="1" applyProtection="1">
      <alignment horizontal="left"/>
      <protection locked="0"/>
    </xf>
    <xf numFmtId="0" fontId="2" fillId="9" borderId="0" xfId="0" applyFont="1" applyFill="1" applyProtection="1">
      <protection locked="0"/>
    </xf>
    <xf numFmtId="0" fontId="2" fillId="16" borderId="0" xfId="0" applyFont="1" applyFill="1" applyProtection="1">
      <protection locked="0"/>
    </xf>
    <xf numFmtId="0" fontId="2" fillId="0" borderId="0" xfId="0" applyFont="1" applyAlignment="1" applyProtection="1">
      <alignment horizontal="center" wrapText="1"/>
      <protection locked="0"/>
    </xf>
    <xf numFmtId="0" fontId="2" fillId="6" borderId="1" xfId="0" applyFont="1" applyFill="1" applyBorder="1" applyAlignment="1" applyProtection="1">
      <alignment horizontal="center" wrapText="1"/>
      <protection locked="0"/>
    </xf>
    <xf numFmtId="0" fontId="2" fillId="10" borderId="1" xfId="0" applyFont="1" applyFill="1" applyBorder="1" applyAlignment="1" applyProtection="1">
      <alignment horizontal="center" wrapText="1"/>
      <protection locked="0"/>
    </xf>
    <xf numFmtId="0" fontId="0" fillId="9" borderId="3" xfId="0" applyFill="1" applyBorder="1" applyProtection="1">
      <protection locked="0"/>
    </xf>
    <xf numFmtId="0" fontId="0" fillId="9" borderId="3" xfId="0" applyFill="1" applyBorder="1" applyAlignment="1" applyProtection="1">
      <alignment horizontal="center"/>
      <protection locked="0"/>
    </xf>
    <xf numFmtId="0" fontId="0" fillId="0" borderId="10" xfId="0" applyBorder="1" applyProtection="1">
      <protection locked="0"/>
    </xf>
    <xf numFmtId="0" fontId="0" fillId="0" borderId="10" xfId="0" applyBorder="1" applyAlignment="1" applyProtection="1">
      <alignment horizontal="center"/>
      <protection locked="0"/>
    </xf>
    <xf numFmtId="0" fontId="0" fillId="0" borderId="0" xfId="0" applyAlignment="1" applyProtection="1">
      <alignment horizontal="center"/>
      <protection locked="0"/>
    </xf>
    <xf numFmtId="3" fontId="2" fillId="6" borderId="1" xfId="0" applyNumberFormat="1" applyFont="1" applyFill="1" applyBorder="1" applyAlignment="1" applyProtection="1">
      <alignment horizontal="center" wrapText="1"/>
      <protection locked="0"/>
    </xf>
    <xf numFmtId="0" fontId="0" fillId="9" borderId="1" xfId="0" applyFill="1" applyBorder="1" applyProtection="1">
      <protection locked="0"/>
    </xf>
    <xf numFmtId="0" fontId="0" fillId="9" borderId="1" xfId="0" applyFill="1" applyBorder="1" applyAlignment="1" applyProtection="1">
      <alignment wrapText="1"/>
      <protection locked="0"/>
    </xf>
    <xf numFmtId="0" fontId="0" fillId="9" borderId="1" xfId="0" applyFill="1" applyBorder="1" applyAlignment="1" applyProtection="1">
      <alignment horizontal="center"/>
      <protection locked="0"/>
    </xf>
    <xf numFmtId="0" fontId="0" fillId="9" borderId="1" xfId="0" applyFill="1" applyBorder="1" applyAlignment="1" applyProtection="1">
      <alignment horizontal="center" wrapText="1"/>
      <protection locked="0"/>
    </xf>
    <xf numFmtId="0" fontId="0" fillId="0" borderId="3" xfId="0" applyBorder="1"/>
    <xf numFmtId="0" fontId="0" fillId="8" borderId="3" xfId="0" applyFill="1" applyBorder="1"/>
    <xf numFmtId="3" fontId="0" fillId="0" borderId="1" xfId="0" applyNumberFormat="1" applyBorder="1" applyAlignment="1">
      <alignment horizontal="center"/>
    </xf>
    <xf numFmtId="3" fontId="0" fillId="8" borderId="1" xfId="0" applyNumberFormat="1" applyFill="1" applyBorder="1" applyAlignment="1">
      <alignment horizontal="center"/>
    </xf>
    <xf numFmtId="0" fontId="10" fillId="9" borderId="1" xfId="0" applyFont="1" applyFill="1" applyBorder="1" applyAlignment="1" applyProtection="1">
      <alignment horizontal="left" wrapText="1"/>
      <protection locked="0"/>
    </xf>
    <xf numFmtId="0" fontId="12" fillId="0" borderId="1" xfId="0" applyFont="1" applyBorder="1" applyAlignment="1" applyProtection="1">
      <alignment horizontal="center"/>
      <protection locked="0"/>
    </xf>
    <xf numFmtId="0" fontId="12" fillId="7" borderId="1" xfId="0" applyFont="1" applyFill="1" applyBorder="1" applyProtection="1">
      <protection locked="0"/>
    </xf>
    <xf numFmtId="0" fontId="12" fillId="0" borderId="1" xfId="0" applyFont="1" applyBorder="1" applyAlignment="1" applyProtection="1">
      <alignment horizontal="center" wrapText="1"/>
      <protection locked="0"/>
    </xf>
    <xf numFmtId="164" fontId="12" fillId="7" borderId="1" xfId="0" applyNumberFormat="1" applyFont="1" applyFill="1" applyBorder="1" applyAlignment="1" applyProtection="1">
      <alignment horizontal="center"/>
      <protection locked="0"/>
    </xf>
    <xf numFmtId="0" fontId="12" fillId="0" borderId="0" xfId="0" applyFont="1" applyAlignment="1" applyProtection="1">
      <alignment horizontal="center" wrapText="1"/>
      <protection locked="0"/>
    </xf>
    <xf numFmtId="164" fontId="12" fillId="0" borderId="0" xfId="0" applyNumberFormat="1" applyFont="1" applyAlignment="1" applyProtection="1">
      <alignment horizontal="center"/>
      <protection locked="0"/>
    </xf>
    <xf numFmtId="164" fontId="10" fillId="0" borderId="0" xfId="0" applyNumberFormat="1" applyFont="1" applyAlignment="1" applyProtection="1">
      <alignment horizontal="center"/>
      <protection locked="0"/>
    </xf>
    <xf numFmtId="0" fontId="24" fillId="0" borderId="0" xfId="0" applyFont="1" applyAlignment="1" applyProtection="1">
      <alignment horizontal="left" wrapText="1"/>
      <protection locked="0"/>
    </xf>
    <xf numFmtId="0" fontId="12" fillId="9" borderId="1" xfId="0" applyFont="1" applyFill="1" applyBorder="1" applyAlignment="1" applyProtection="1">
      <alignment horizontal="center"/>
      <protection locked="0"/>
    </xf>
    <xf numFmtId="0" fontId="10" fillId="4" borderId="1" xfId="0" applyFont="1" applyFill="1" applyBorder="1" applyAlignment="1" applyProtection="1">
      <alignment horizontal="center"/>
      <protection locked="0"/>
    </xf>
    <xf numFmtId="0" fontId="10" fillId="0" borderId="1" xfId="0" applyFont="1" applyBorder="1" applyAlignment="1">
      <alignment horizontal="center" wrapText="1"/>
    </xf>
    <xf numFmtId="9" fontId="10" fillId="0" borderId="1" xfId="1" applyFont="1" applyBorder="1" applyAlignment="1" applyProtection="1">
      <alignment horizontal="center" wrapText="1"/>
    </xf>
    <xf numFmtId="4" fontId="12" fillId="0" borderId="0" xfId="0" applyNumberFormat="1" applyFont="1" applyAlignment="1">
      <alignment horizontal="center"/>
    </xf>
    <xf numFmtId="164" fontId="12" fillId="0" borderId="1" xfId="0" applyNumberFormat="1" applyFont="1" applyBorder="1" applyAlignment="1">
      <alignment horizontal="center"/>
    </xf>
    <xf numFmtId="164" fontId="10" fillId="0" borderId="1" xfId="0" applyNumberFormat="1" applyFont="1" applyBorder="1" applyAlignment="1">
      <alignment horizontal="center"/>
    </xf>
    <xf numFmtId="3" fontId="12" fillId="0" borderId="1" xfId="2" applyNumberFormat="1" applyFont="1" applyBorder="1" applyAlignment="1" applyProtection="1">
      <alignment horizontal="center"/>
    </xf>
    <xf numFmtId="3" fontId="12" fillId="0" borderId="1" xfId="2" applyNumberFormat="1" applyFont="1" applyFill="1" applyBorder="1" applyAlignment="1" applyProtection="1">
      <alignment horizontal="center"/>
    </xf>
    <xf numFmtId="3" fontId="10" fillId="4" borderId="1" xfId="0" applyNumberFormat="1" applyFont="1" applyFill="1" applyBorder="1" applyAlignment="1">
      <alignment horizontal="center"/>
    </xf>
    <xf numFmtId="0" fontId="2" fillId="5" borderId="0" xfId="0" applyFont="1" applyFill="1"/>
    <xf numFmtId="0" fontId="21" fillId="5" borderId="0" xfId="0" applyFont="1" applyFill="1"/>
    <xf numFmtId="0" fontId="10" fillId="9" borderId="1" xfId="0" applyFont="1" applyFill="1" applyBorder="1" applyAlignment="1">
      <alignment horizontal="left" wrapText="1"/>
    </xf>
    <xf numFmtId="9" fontId="10" fillId="0" borderId="1" xfId="1" applyFont="1" applyBorder="1" applyAlignment="1">
      <alignment horizontal="center" wrapText="1"/>
    </xf>
    <xf numFmtId="0" fontId="12" fillId="0" borderId="1" xfId="0" applyFont="1" applyBorder="1" applyAlignment="1">
      <alignment horizontal="center"/>
    </xf>
    <xf numFmtId="0" fontId="12" fillId="7" borderId="1" xfId="0" applyFont="1" applyFill="1" applyBorder="1"/>
    <xf numFmtId="0" fontId="12" fillId="0" borderId="1" xfId="0" applyFont="1" applyBorder="1" applyAlignment="1">
      <alignment horizontal="center" wrapText="1"/>
    </xf>
    <xf numFmtId="164" fontId="12" fillId="7" borderId="1" xfId="0" applyNumberFormat="1" applyFont="1" applyFill="1" applyBorder="1" applyAlignment="1">
      <alignment horizontal="center"/>
    </xf>
    <xf numFmtId="0" fontId="12" fillId="0" borderId="0" xfId="0" applyFont="1" applyAlignment="1">
      <alignment horizontal="center" wrapText="1"/>
    </xf>
    <xf numFmtId="164" fontId="12" fillId="0" borderId="0" xfId="0" applyNumberFormat="1" applyFont="1" applyAlignment="1">
      <alignment horizontal="center"/>
    </xf>
    <xf numFmtId="164" fontId="10" fillId="0" borderId="0" xfId="0" applyNumberFormat="1" applyFont="1" applyAlignment="1">
      <alignment horizontal="center"/>
    </xf>
    <xf numFmtId="0" fontId="24" fillId="0" borderId="0" xfId="0" applyFont="1" applyAlignment="1">
      <alignment horizontal="left" wrapText="1"/>
    </xf>
    <xf numFmtId="0" fontId="12" fillId="9" borderId="1" xfId="0" applyFont="1" applyFill="1" applyBorder="1" applyAlignment="1">
      <alignment horizontal="center"/>
    </xf>
    <xf numFmtId="3" fontId="12" fillId="0" borderId="1" xfId="2" applyNumberFormat="1" applyFont="1" applyBorder="1" applyAlignment="1">
      <alignment horizontal="center"/>
    </xf>
    <xf numFmtId="3" fontId="12" fillId="0" borderId="1" xfId="2" applyNumberFormat="1" applyFont="1" applyFill="1" applyBorder="1" applyAlignment="1">
      <alignment horizontal="center"/>
    </xf>
    <xf numFmtId="0" fontId="10" fillId="4" borderId="1" xfId="0" applyFont="1" applyFill="1" applyBorder="1" applyAlignment="1">
      <alignment horizontal="center"/>
    </xf>
    <xf numFmtId="3" fontId="0" fillId="0" borderId="0" xfId="0" applyNumberFormat="1"/>
    <xf numFmtId="0" fontId="28" fillId="0" borderId="0" xfId="0" applyFont="1"/>
    <xf numFmtId="0" fontId="27" fillId="0" borderId="0" xfId="0" applyFont="1"/>
    <xf numFmtId="0" fontId="0" fillId="3" borderId="1" xfId="0" applyFill="1" applyBorder="1"/>
    <xf numFmtId="0" fontId="0" fillId="3" borderId="1" xfId="0" applyFill="1" applyBorder="1" applyAlignment="1">
      <alignment horizontal="center"/>
    </xf>
    <xf numFmtId="0" fontId="0" fillId="5" borderId="0" xfId="0" applyFill="1"/>
    <xf numFmtId="0" fontId="25" fillId="0" borderId="0" xfId="0" applyFont="1"/>
    <xf numFmtId="0" fontId="25" fillId="0" borderId="0" xfId="0" applyFont="1" applyAlignment="1">
      <alignment horizontal="left"/>
    </xf>
    <xf numFmtId="3" fontId="2" fillId="6" borderId="1" xfId="0" applyNumberFormat="1" applyFont="1" applyFill="1" applyBorder="1" applyAlignment="1">
      <alignment horizontal="center" wrapText="1"/>
    </xf>
    <xf numFmtId="1" fontId="0" fillId="0" borderId="1" xfId="0" applyNumberFormat="1" applyBorder="1" applyAlignment="1">
      <alignment horizontal="right"/>
    </xf>
    <xf numFmtId="49" fontId="0" fillId="0" borderId="0" xfId="0" applyNumberFormat="1" applyAlignment="1">
      <alignment horizontal="center" wrapText="1"/>
    </xf>
    <xf numFmtId="49" fontId="29" fillId="0" borderId="1" xfId="0" applyNumberFormat="1" applyFont="1" applyBorder="1" applyAlignment="1">
      <alignment horizontal="center" wrapText="1"/>
    </xf>
    <xf numFmtId="0" fontId="29" fillId="6" borderId="1" xfId="0" applyFont="1" applyFill="1" applyBorder="1" applyAlignment="1">
      <alignment horizontal="center" vertical="center" wrapText="1"/>
    </xf>
    <xf numFmtId="0" fontId="10" fillId="6" borderId="1" xfId="0" applyFont="1" applyFill="1" applyBorder="1" applyAlignment="1">
      <alignment horizontal="center" wrapText="1"/>
    </xf>
    <xf numFmtId="0" fontId="10" fillId="6" borderId="1" xfId="0" applyFont="1" applyFill="1" applyBorder="1" applyAlignment="1" applyProtection="1">
      <alignment horizontal="center" wrapText="1"/>
      <protection locked="0"/>
    </xf>
    <xf numFmtId="0" fontId="25" fillId="0" borderId="0" xfId="0" applyFont="1" applyAlignment="1">
      <alignment horizontal="left" wrapText="1"/>
    </xf>
    <xf numFmtId="0" fontId="25" fillId="0" borderId="0" xfId="0" applyFont="1" applyAlignment="1" applyProtection="1">
      <alignment horizontal="left" wrapText="1"/>
      <protection locked="0"/>
    </xf>
    <xf numFmtId="0" fontId="10" fillId="0" borderId="0" xfId="0" applyFont="1" applyAlignment="1">
      <alignment horizontal="left" wrapText="1"/>
    </xf>
    <xf numFmtId="0" fontId="10" fillId="0" borderId="0" xfId="0" applyFont="1" applyAlignment="1" applyProtection="1">
      <alignment horizontal="left" wrapText="1"/>
      <protection locked="0"/>
    </xf>
    <xf numFmtId="0" fontId="0" fillId="0" borderId="1" xfId="0" applyBorder="1" applyProtection="1">
      <protection locked="0"/>
    </xf>
    <xf numFmtId="0" fontId="0" fillId="0" borderId="1" xfId="0" applyBorder="1" applyAlignment="1" applyProtection="1">
      <alignment horizontal="center" wrapText="1"/>
      <protection locked="0"/>
    </xf>
    <xf numFmtId="0" fontId="5" fillId="9" borderId="1" xfId="0" applyFont="1" applyFill="1" applyBorder="1" applyAlignment="1" applyProtection="1">
      <alignment vertical="top" wrapText="1"/>
      <protection locked="0"/>
    </xf>
    <xf numFmtId="0" fontId="5" fillId="9" borderId="1" xfId="0" quotePrefix="1" applyFont="1" applyFill="1" applyBorder="1" applyAlignment="1" applyProtection="1">
      <alignment horizontal="center" vertical="top" wrapText="1"/>
      <protection locked="0"/>
    </xf>
    <xf numFmtId="0" fontId="0" fillId="9" borderId="1" xfId="0" applyFill="1" applyBorder="1" applyAlignment="1" applyProtection="1">
      <alignment horizontal="center" vertical="center"/>
      <protection locked="0"/>
    </xf>
    <xf numFmtId="9" fontId="0" fillId="9" borderId="1" xfId="1" applyFont="1" applyFill="1" applyBorder="1" applyAlignment="1" applyProtection="1">
      <alignment horizontal="center" vertical="center"/>
      <protection locked="0"/>
    </xf>
    <xf numFmtId="0" fontId="5" fillId="9" borderId="1" xfId="0" applyFont="1" applyFill="1" applyBorder="1" applyProtection="1">
      <protection locked="0"/>
    </xf>
    <xf numFmtId="0" fontId="10" fillId="0" borderId="2" xfId="0" applyFont="1" applyBorder="1" applyAlignment="1">
      <alignment horizontal="left" wrapText="1"/>
    </xf>
    <xf numFmtId="0" fontId="10" fillId="6" borderId="1" xfId="0" applyFont="1" applyFill="1" applyBorder="1" applyAlignment="1">
      <alignment horizontal="center" wrapText="1"/>
    </xf>
    <xf numFmtId="0" fontId="11" fillId="6" borderId="1" xfId="0" applyFont="1" applyFill="1" applyBorder="1" applyAlignment="1">
      <alignment horizontal="center" wrapText="1"/>
    </xf>
    <xf numFmtId="0" fontId="10" fillId="0" borderId="0" xfId="0" applyFont="1" applyAlignment="1">
      <alignment horizontal="left" wrapText="1"/>
    </xf>
    <xf numFmtId="0" fontId="13" fillId="6" borderId="1" xfId="0" applyFont="1" applyFill="1" applyBorder="1" applyAlignment="1">
      <alignment horizontal="center" wrapText="1"/>
    </xf>
    <xf numFmtId="0" fontId="9" fillId="0" borderId="0" xfId="3" applyFill="1" applyBorder="1" applyAlignment="1"/>
    <xf numFmtId="0" fontId="10" fillId="0" borderId="2" xfId="0" applyFont="1" applyBorder="1" applyAlignment="1" applyProtection="1">
      <alignment horizontal="left" wrapText="1"/>
      <protection locked="0"/>
    </xf>
    <xf numFmtId="0" fontId="10" fillId="0" borderId="0" xfId="0" applyFont="1" applyAlignment="1" applyProtection="1">
      <alignment horizontal="left" wrapText="1"/>
      <protection locked="0"/>
    </xf>
    <xf numFmtId="0" fontId="10" fillId="6" borderId="1" xfId="0" applyFont="1" applyFill="1" applyBorder="1" applyAlignment="1" applyProtection="1">
      <alignment horizontal="center" wrapText="1"/>
      <protection locked="0"/>
    </xf>
    <xf numFmtId="0" fontId="13" fillId="6" borderId="1" xfId="0" applyFont="1" applyFill="1" applyBorder="1" applyAlignment="1" applyProtection="1">
      <alignment horizontal="center" wrapText="1"/>
      <protection locked="0"/>
    </xf>
    <xf numFmtId="0" fontId="11" fillId="6" borderId="1" xfId="0" applyFont="1" applyFill="1" applyBorder="1" applyAlignment="1" applyProtection="1">
      <alignment horizontal="center" wrapText="1"/>
      <protection locked="0"/>
    </xf>
    <xf numFmtId="0" fontId="9" fillId="0" borderId="0" xfId="3" applyFill="1" applyBorder="1" applyAlignment="1" applyProtection="1">
      <protection locked="0"/>
    </xf>
    <xf numFmtId="0" fontId="25" fillId="0" borderId="0" xfId="0" applyFont="1" applyAlignment="1">
      <alignment horizontal="left" wrapText="1"/>
    </xf>
    <xf numFmtId="0" fontId="9" fillId="0" borderId="2" xfId="3" applyFill="1" applyBorder="1" applyAlignment="1"/>
    <xf numFmtId="0" fontId="25" fillId="0" borderId="0" xfId="0" applyFont="1" applyAlignment="1" applyProtection="1">
      <alignment horizontal="left" wrapText="1"/>
      <protection locked="0"/>
    </xf>
    <xf numFmtId="0" fontId="9" fillId="0" borderId="2" xfId="3" applyFill="1" applyBorder="1" applyAlignment="1" applyProtection="1">
      <protection locked="0"/>
    </xf>
    <xf numFmtId="0" fontId="23" fillId="14" borderId="0" xfId="0" applyFont="1" applyFill="1" applyAlignment="1">
      <alignment horizontal="left" vertical="center"/>
    </xf>
    <xf numFmtId="0" fontId="14" fillId="11" borderId="7" xfId="0" applyFont="1" applyFill="1" applyBorder="1" applyAlignment="1">
      <alignment horizontal="center" vertical="center" wrapText="1"/>
    </xf>
    <xf numFmtId="0" fontId="14" fillId="11" borderId="8" xfId="0" applyFont="1" applyFill="1" applyBorder="1" applyAlignment="1">
      <alignment horizontal="center" vertical="center" wrapText="1"/>
    </xf>
    <xf numFmtId="0" fontId="17" fillId="12" borderId="12" xfId="0" applyFont="1" applyFill="1" applyBorder="1" applyAlignment="1">
      <alignment horizontal="center" vertical="center" wrapText="1"/>
    </xf>
    <xf numFmtId="0" fontId="17" fillId="12" borderId="20" xfId="0" applyFont="1" applyFill="1" applyBorder="1" applyAlignment="1">
      <alignment horizontal="center" vertical="center" wrapText="1"/>
    </xf>
    <xf numFmtId="0" fontId="17" fillId="12" borderId="13" xfId="0" applyFont="1" applyFill="1" applyBorder="1" applyAlignment="1">
      <alignment horizontal="center" vertical="center" wrapText="1"/>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7</xdr:col>
      <xdr:colOff>18149</xdr:colOff>
      <xdr:row>104</xdr:row>
      <xdr:rowOff>66242</xdr:rowOff>
    </xdr:to>
    <xdr:pic>
      <xdr:nvPicPr>
        <xdr:cNvPr id="2" name="Picture 1">
          <a:extLst>
            <a:ext uri="{FF2B5EF4-FFF2-40B4-BE49-F238E27FC236}">
              <a16:creationId xmlns:a16="http://schemas.microsoft.com/office/drawing/2014/main" id="{DB16AD86-179D-48F0-963E-E545570C4216}"/>
            </a:ext>
          </a:extLst>
        </xdr:cNvPr>
        <xdr:cNvPicPr>
          <a:picLocks noChangeAspect="1"/>
        </xdr:cNvPicPr>
      </xdr:nvPicPr>
      <xdr:blipFill>
        <a:blip xmlns:r="http://schemas.openxmlformats.org/officeDocument/2006/relationships" r:embed="rId1"/>
        <a:stretch>
          <a:fillRect/>
        </a:stretch>
      </xdr:blipFill>
      <xdr:spPr>
        <a:xfrm>
          <a:off x="0" y="17345025"/>
          <a:ext cx="7209524" cy="4542992"/>
        </a:xfrm>
        <a:prstGeom prst="rect">
          <a:avLst/>
        </a:prstGeom>
      </xdr:spPr>
    </xdr:pic>
    <xdr:clientData/>
  </xdr:twoCellAnchor>
  <xdr:twoCellAnchor editAs="oneCell">
    <xdr:from>
      <xdr:col>12</xdr:col>
      <xdr:colOff>533400</xdr:colOff>
      <xdr:row>91</xdr:row>
      <xdr:rowOff>0</xdr:rowOff>
    </xdr:from>
    <xdr:to>
      <xdr:col>17</xdr:col>
      <xdr:colOff>418298</xdr:colOff>
      <xdr:row>103</xdr:row>
      <xdr:rowOff>37809</xdr:rowOff>
    </xdr:to>
    <xdr:pic>
      <xdr:nvPicPr>
        <xdr:cNvPr id="3" name="Picture 2">
          <a:extLst>
            <a:ext uri="{FF2B5EF4-FFF2-40B4-BE49-F238E27FC236}">
              <a16:creationId xmlns:a16="http://schemas.microsoft.com/office/drawing/2014/main" id="{0A1EDF5C-E9D8-40A7-974D-1E6590DCC911}"/>
            </a:ext>
          </a:extLst>
        </xdr:cNvPr>
        <xdr:cNvPicPr>
          <a:picLocks noChangeAspect="1"/>
        </xdr:cNvPicPr>
      </xdr:nvPicPr>
      <xdr:blipFill>
        <a:blip xmlns:r="http://schemas.openxmlformats.org/officeDocument/2006/relationships" r:embed="rId2"/>
        <a:stretch>
          <a:fillRect/>
        </a:stretch>
      </xdr:blipFill>
      <xdr:spPr>
        <a:xfrm>
          <a:off x="13554075" y="19345275"/>
          <a:ext cx="6419048" cy="2323809"/>
        </a:xfrm>
        <a:prstGeom prst="rect">
          <a:avLst/>
        </a:prstGeom>
      </xdr:spPr>
    </xdr:pic>
    <xdr:clientData/>
  </xdr:twoCellAnchor>
  <xdr:twoCellAnchor editAs="oneCell">
    <xdr:from>
      <xdr:col>17</xdr:col>
      <xdr:colOff>119060</xdr:colOff>
      <xdr:row>13</xdr:row>
      <xdr:rowOff>119061</xdr:rowOff>
    </xdr:from>
    <xdr:to>
      <xdr:col>18</xdr:col>
      <xdr:colOff>1424547</xdr:colOff>
      <xdr:row>51</xdr:row>
      <xdr:rowOff>90485</xdr:rowOff>
    </xdr:to>
    <xdr:pic>
      <xdr:nvPicPr>
        <xdr:cNvPr id="4" name="Picture 3">
          <a:extLst>
            <a:ext uri="{FF2B5EF4-FFF2-40B4-BE49-F238E27FC236}">
              <a16:creationId xmlns:a16="http://schemas.microsoft.com/office/drawing/2014/main" id="{4CAE9387-9E6B-466B-926D-4EE57099BC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73885" y="2900361"/>
          <a:ext cx="6134662" cy="7381874"/>
        </a:xfrm>
        <a:prstGeom prst="rect">
          <a:avLst/>
        </a:prstGeom>
        <a:noFill/>
        <a:ln w="254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428625</xdr:colOff>
      <xdr:row>14</xdr:row>
      <xdr:rowOff>95250</xdr:rowOff>
    </xdr:from>
    <xdr:to>
      <xdr:col>25</xdr:col>
      <xdr:colOff>625060</xdr:colOff>
      <xdr:row>30</xdr:row>
      <xdr:rowOff>53687</xdr:rowOff>
    </xdr:to>
    <xdr:pic>
      <xdr:nvPicPr>
        <xdr:cNvPr id="5" name="Picture 4">
          <a:extLst>
            <a:ext uri="{FF2B5EF4-FFF2-40B4-BE49-F238E27FC236}">
              <a16:creationId xmlns:a16="http://schemas.microsoft.com/office/drawing/2014/main" id="{04D04A2E-E1F3-442E-8C6F-7B07C507AE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403300" y="3067050"/>
          <a:ext cx="9740485" cy="3177887"/>
        </a:xfrm>
        <a:prstGeom prst="rect">
          <a:avLst/>
        </a:prstGeom>
        <a:solidFill>
          <a:srgbClr val="FFFFFF">
            <a:shade val="85000"/>
          </a:srgbClr>
        </a:solidFill>
        <a:ln w="25400" cap="sq">
          <a:solidFill>
            <a:schemeClr val="tx1"/>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14</xdr:col>
      <xdr:colOff>0</xdr:colOff>
      <xdr:row>36</xdr:row>
      <xdr:rowOff>0</xdr:rowOff>
    </xdr:from>
    <xdr:to>
      <xdr:col>15</xdr:col>
      <xdr:colOff>2000250</xdr:colOff>
      <xdr:row>62</xdr:row>
      <xdr:rowOff>166687</xdr:rowOff>
    </xdr:to>
    <xdr:grpSp>
      <xdr:nvGrpSpPr>
        <xdr:cNvPr id="6" name="Group 5">
          <a:extLst>
            <a:ext uri="{FF2B5EF4-FFF2-40B4-BE49-F238E27FC236}">
              <a16:creationId xmlns:a16="http://schemas.microsoft.com/office/drawing/2014/main" id="{7036ABDC-BF81-42CF-93BB-E7A60B8FF07C}"/>
            </a:ext>
          </a:extLst>
        </xdr:cNvPr>
        <xdr:cNvGrpSpPr/>
      </xdr:nvGrpSpPr>
      <xdr:grpSpPr>
        <a:xfrm>
          <a:off x="14144625" y="7334250"/>
          <a:ext cx="4524375" cy="5119687"/>
          <a:chOff x="5388428" y="6398072"/>
          <a:chExt cx="6417779" cy="6838957"/>
        </a:xfrm>
      </xdr:grpSpPr>
      <xdr:pic>
        <xdr:nvPicPr>
          <xdr:cNvPr id="7" name="Picture 6">
            <a:extLst>
              <a:ext uri="{FF2B5EF4-FFF2-40B4-BE49-F238E27FC236}">
                <a16:creationId xmlns:a16="http://schemas.microsoft.com/office/drawing/2014/main" id="{EE4C679E-AECB-8DB3-264D-97E135AB38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5642" y="6398072"/>
            <a:ext cx="6387193" cy="4428064"/>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867F88AE-9DA7-96E4-4FB4-A6F2BE156A0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88428" y="10842171"/>
            <a:ext cx="6417779" cy="239485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7</xdr:col>
      <xdr:colOff>18149</xdr:colOff>
      <xdr:row>104</xdr:row>
      <xdr:rowOff>66242</xdr:rowOff>
    </xdr:to>
    <xdr:pic>
      <xdr:nvPicPr>
        <xdr:cNvPr id="2" name="Picture 1">
          <a:extLst>
            <a:ext uri="{FF2B5EF4-FFF2-40B4-BE49-F238E27FC236}">
              <a16:creationId xmlns:a16="http://schemas.microsoft.com/office/drawing/2014/main" id="{BD1CF4FD-EF45-4115-9AF8-F5343A6EDC77}"/>
            </a:ext>
          </a:extLst>
        </xdr:cNvPr>
        <xdr:cNvPicPr>
          <a:picLocks noChangeAspect="1"/>
        </xdr:cNvPicPr>
      </xdr:nvPicPr>
      <xdr:blipFill>
        <a:blip xmlns:r="http://schemas.openxmlformats.org/officeDocument/2006/relationships" r:embed="rId1"/>
        <a:stretch>
          <a:fillRect/>
        </a:stretch>
      </xdr:blipFill>
      <xdr:spPr>
        <a:xfrm>
          <a:off x="0" y="2200275"/>
          <a:ext cx="7209524" cy="3466667"/>
        </a:xfrm>
        <a:prstGeom prst="rect">
          <a:avLst/>
        </a:prstGeom>
      </xdr:spPr>
    </xdr:pic>
    <xdr:clientData/>
  </xdr:twoCellAnchor>
  <xdr:twoCellAnchor editAs="oneCell">
    <xdr:from>
      <xdr:col>13</xdr:col>
      <xdr:colOff>0</xdr:colOff>
      <xdr:row>91</xdr:row>
      <xdr:rowOff>0</xdr:rowOff>
    </xdr:from>
    <xdr:to>
      <xdr:col>17</xdr:col>
      <xdr:colOff>446873</xdr:colOff>
      <xdr:row>103</xdr:row>
      <xdr:rowOff>37809</xdr:rowOff>
    </xdr:to>
    <xdr:pic>
      <xdr:nvPicPr>
        <xdr:cNvPr id="3" name="Picture 2">
          <a:extLst>
            <a:ext uri="{FF2B5EF4-FFF2-40B4-BE49-F238E27FC236}">
              <a16:creationId xmlns:a16="http://schemas.microsoft.com/office/drawing/2014/main" id="{F5FF6F09-9268-4A12-ACDE-26D453BB3545}"/>
            </a:ext>
          </a:extLst>
        </xdr:cNvPr>
        <xdr:cNvPicPr>
          <a:picLocks noChangeAspect="1"/>
        </xdr:cNvPicPr>
      </xdr:nvPicPr>
      <xdr:blipFill>
        <a:blip xmlns:r="http://schemas.openxmlformats.org/officeDocument/2006/relationships" r:embed="rId2"/>
        <a:stretch>
          <a:fillRect/>
        </a:stretch>
      </xdr:blipFill>
      <xdr:spPr>
        <a:xfrm>
          <a:off x="8172450" y="3095625"/>
          <a:ext cx="6419048" cy="2323809"/>
        </a:xfrm>
        <a:prstGeom prst="rect">
          <a:avLst/>
        </a:prstGeom>
      </xdr:spPr>
    </xdr:pic>
    <xdr:clientData/>
  </xdr:twoCellAnchor>
  <xdr:twoCellAnchor editAs="oneCell">
    <xdr:from>
      <xdr:col>17</xdr:col>
      <xdr:colOff>119060</xdr:colOff>
      <xdr:row>13</xdr:row>
      <xdr:rowOff>119061</xdr:rowOff>
    </xdr:from>
    <xdr:to>
      <xdr:col>18</xdr:col>
      <xdr:colOff>1424547</xdr:colOff>
      <xdr:row>51</xdr:row>
      <xdr:rowOff>90485</xdr:rowOff>
    </xdr:to>
    <xdr:pic>
      <xdr:nvPicPr>
        <xdr:cNvPr id="4" name="Picture 3">
          <a:extLst>
            <a:ext uri="{FF2B5EF4-FFF2-40B4-BE49-F238E27FC236}">
              <a16:creationId xmlns:a16="http://schemas.microsoft.com/office/drawing/2014/main" id="{1A87C309-4B73-427B-BC01-08A5399B7E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92935" y="3071811"/>
          <a:ext cx="6139425" cy="7381874"/>
        </a:xfrm>
        <a:prstGeom prst="rect">
          <a:avLst/>
        </a:prstGeom>
        <a:noFill/>
        <a:ln w="254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428625</xdr:colOff>
      <xdr:row>14</xdr:row>
      <xdr:rowOff>95250</xdr:rowOff>
    </xdr:from>
    <xdr:to>
      <xdr:col>25</xdr:col>
      <xdr:colOff>625060</xdr:colOff>
      <xdr:row>30</xdr:row>
      <xdr:rowOff>53687</xdr:rowOff>
    </xdr:to>
    <xdr:pic>
      <xdr:nvPicPr>
        <xdr:cNvPr id="5" name="Picture 4">
          <a:extLst>
            <a:ext uri="{FF2B5EF4-FFF2-40B4-BE49-F238E27FC236}">
              <a16:creationId xmlns:a16="http://schemas.microsoft.com/office/drawing/2014/main" id="{5C0BE617-6167-4E8F-B832-E2D7DCFAC3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03188" y="3429000"/>
          <a:ext cx="9769061" cy="3177887"/>
        </a:xfrm>
        <a:prstGeom prst="rect">
          <a:avLst/>
        </a:prstGeom>
        <a:solidFill>
          <a:srgbClr val="FFFFFF">
            <a:shade val="85000"/>
          </a:srgbClr>
        </a:solidFill>
        <a:ln w="25400" cap="sq">
          <a:solidFill>
            <a:schemeClr val="tx1"/>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14</xdr:col>
      <xdr:colOff>0</xdr:colOff>
      <xdr:row>36</xdr:row>
      <xdr:rowOff>0</xdr:rowOff>
    </xdr:from>
    <xdr:to>
      <xdr:col>15</xdr:col>
      <xdr:colOff>2000250</xdr:colOff>
      <xdr:row>62</xdr:row>
      <xdr:rowOff>166687</xdr:rowOff>
    </xdr:to>
    <xdr:grpSp>
      <xdr:nvGrpSpPr>
        <xdr:cNvPr id="6" name="Group 5">
          <a:extLst>
            <a:ext uri="{FF2B5EF4-FFF2-40B4-BE49-F238E27FC236}">
              <a16:creationId xmlns:a16="http://schemas.microsoft.com/office/drawing/2014/main" id="{9B0249E8-7F67-4184-8123-BA6449AA792C}"/>
            </a:ext>
          </a:extLst>
        </xdr:cNvPr>
        <xdr:cNvGrpSpPr/>
      </xdr:nvGrpSpPr>
      <xdr:grpSpPr>
        <a:xfrm>
          <a:off x="14144625" y="7496175"/>
          <a:ext cx="4524375" cy="5119687"/>
          <a:chOff x="5388428" y="6398072"/>
          <a:chExt cx="6417779" cy="6838957"/>
        </a:xfrm>
      </xdr:grpSpPr>
      <xdr:pic>
        <xdr:nvPicPr>
          <xdr:cNvPr id="7" name="Picture 6">
            <a:extLst>
              <a:ext uri="{FF2B5EF4-FFF2-40B4-BE49-F238E27FC236}">
                <a16:creationId xmlns:a16="http://schemas.microsoft.com/office/drawing/2014/main" id="{437206B5-EA7D-4004-A4E7-6CA2FEA01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5642" y="6398072"/>
            <a:ext cx="6387193" cy="4428064"/>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D8B02AE6-A74A-45AD-91EF-E214AC87E7E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88428" y="10842171"/>
            <a:ext cx="6417779" cy="239485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neDrive\WildwoodConsulting\OSTDS_Tool\Springs%20Credit%20Workbook%20Template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ldep1\dear\Documents%20and%20Settings\User\My%20Documents\St.%20Lucie\Allocations\Bob%20Calcs%201208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ummary"/>
      <sheetName val="Wet Detention Calcs"/>
      <sheetName val="Reuse Calcs"/>
      <sheetName val="Retention, Trains, and Swales"/>
      <sheetName val="Street Sweeping and CO"/>
      <sheetName val="Education"/>
      <sheetName val="Exfil Trenches"/>
      <sheetName val="OSTDS Residential"/>
      <sheetName val="Residential References"/>
      <sheetName val="OSTDS Commecial Calcs"/>
      <sheetName val="OSTDS Commercial Refs"/>
      <sheetName val="WWTF"/>
      <sheetName val="Springs Credit Workbook Templ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ormance"/>
      <sheetName val="EMCs"/>
      <sheetName val="ROCs"/>
      <sheetName val="Summary"/>
      <sheetName val="FLUCCS"/>
      <sheetName val="Calcs Juris"/>
      <sheetName val="Juris N Red"/>
      <sheetName val="Juris P Red"/>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people.sc.fsu.edu/~mye/ArcNLET/"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0.bin"/><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hyperlink" Target="https://floridadep.gov/dear/water-quality-restoration/documents/full-recharge-2025-shapefile" TargetMode="Externa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hyperlink" Target="https://floridadep.gov/dear/water-quality-restoration/documents/full-recharge-2025-shapefile" TargetMode="Externa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printerSettings" Target="../printerSettings/printerSettings2.bin"/><Relationship Id="rId1" Type="http://schemas.openxmlformats.org/officeDocument/2006/relationships/hyperlink" Target="https://floridadep.gov/dear/water-quality-restoration/documents/full-recharge-2025-shapefile" TargetMode="Externa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printerSettings" Target="../printerSettings/printerSettings3.bin"/><Relationship Id="rId1" Type="http://schemas.openxmlformats.org/officeDocument/2006/relationships/hyperlink" Target="https://floridadep.gov/dear/water-quality-restoration/documents/full-recharge-2025-shapefile" TargetMode="External"/></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hyperlink" Target="https://people.sc.fsu.edu/~mye/ArcNLET/"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EB7A-1774-4301-81AB-0D052F8998B3}">
  <sheetPr codeName="Sheet2">
    <tabColor rgb="FFFF0000"/>
  </sheetPr>
  <dimension ref="A1:H44"/>
  <sheetViews>
    <sheetView showGridLines="0" tabSelected="1" zoomScaleNormal="100" workbookViewId="0">
      <selection activeCell="B18" sqref="B18"/>
    </sheetView>
  </sheetViews>
  <sheetFormatPr defaultRowHeight="15" x14ac:dyDescent="0.25"/>
  <cols>
    <col min="1" max="1" width="2.7109375" customWidth="1"/>
    <col min="2" max="2" width="93.42578125" customWidth="1"/>
    <col min="3" max="3" width="59.42578125" customWidth="1"/>
    <col min="4" max="4" width="39.140625" customWidth="1"/>
    <col min="5" max="5" width="12.28515625" customWidth="1"/>
    <col min="7" max="7" width="32.85546875" customWidth="1"/>
    <col min="8" max="8" width="35.85546875" customWidth="1"/>
  </cols>
  <sheetData>
    <row r="1" spans="1:8" ht="15.75" x14ac:dyDescent="0.25">
      <c r="B1" s="3" t="s">
        <v>0</v>
      </c>
      <c r="F1" s="187" t="s">
        <v>1</v>
      </c>
      <c r="G1" s="187" t="s">
        <v>2</v>
      </c>
      <c r="H1" s="187" t="s">
        <v>3</v>
      </c>
    </row>
    <row r="2" spans="1:8" ht="15.75" x14ac:dyDescent="0.25">
      <c r="F2" s="186" t="s">
        <v>4</v>
      </c>
      <c r="G2" s="186" t="s">
        <v>5</v>
      </c>
      <c r="H2" s="186" t="s">
        <v>6</v>
      </c>
    </row>
    <row r="3" spans="1:8" ht="15.75" x14ac:dyDescent="0.25">
      <c r="A3" s="113">
        <v>1</v>
      </c>
      <c r="B3" s="76" t="s">
        <v>7</v>
      </c>
      <c r="C3" s="89"/>
      <c r="D3" s="89"/>
      <c r="E3" s="89"/>
      <c r="F3" s="186" t="s">
        <v>8</v>
      </c>
      <c r="G3" s="186" t="s">
        <v>9</v>
      </c>
      <c r="H3" s="186" t="s">
        <v>10</v>
      </c>
    </row>
    <row r="4" spans="1:8" ht="15.75" x14ac:dyDescent="0.25">
      <c r="A4" s="113">
        <v>2</v>
      </c>
      <c r="B4" s="88" t="s">
        <v>11</v>
      </c>
      <c r="C4" s="88"/>
      <c r="D4" s="88"/>
      <c r="E4" s="88"/>
      <c r="F4" s="186" t="s">
        <v>12</v>
      </c>
      <c r="G4" s="186" t="s">
        <v>13</v>
      </c>
      <c r="H4" s="186" t="s">
        <v>10</v>
      </c>
    </row>
    <row r="5" spans="1:8" ht="30" x14ac:dyDescent="0.25">
      <c r="A5" s="113">
        <v>3</v>
      </c>
      <c r="B5" s="88" t="s">
        <v>14</v>
      </c>
      <c r="C5" s="88"/>
      <c r="D5" s="88"/>
      <c r="E5" s="88"/>
      <c r="F5" s="186" t="s">
        <v>15</v>
      </c>
      <c r="G5" s="186" t="s">
        <v>16</v>
      </c>
      <c r="H5" s="186" t="s">
        <v>17</v>
      </c>
    </row>
    <row r="6" spans="1:8" ht="15.75" x14ac:dyDescent="0.25">
      <c r="A6" s="8"/>
      <c r="B6" s="88"/>
      <c r="C6" s="88"/>
      <c r="D6" s="88"/>
      <c r="E6" s="88"/>
      <c r="F6" s="186" t="s">
        <v>18</v>
      </c>
      <c r="G6" s="186" t="s">
        <v>19</v>
      </c>
      <c r="H6" s="186" t="s">
        <v>10</v>
      </c>
    </row>
    <row r="7" spans="1:8" ht="15.75" x14ac:dyDescent="0.25">
      <c r="A7" s="8"/>
      <c r="B7" s="88"/>
      <c r="C7" s="88"/>
      <c r="D7" s="88"/>
      <c r="E7" s="88"/>
      <c r="F7" s="186" t="s">
        <v>20</v>
      </c>
      <c r="G7" s="186" t="s">
        <v>21</v>
      </c>
      <c r="H7" s="186" t="s">
        <v>17</v>
      </c>
    </row>
    <row r="8" spans="1:8" ht="15.75" x14ac:dyDescent="0.25">
      <c r="A8" s="8"/>
      <c r="B8" s="3" t="s">
        <v>22</v>
      </c>
      <c r="D8" s="88"/>
      <c r="E8" s="88"/>
      <c r="F8" s="186" t="s">
        <v>23</v>
      </c>
      <c r="G8" s="186" t="s">
        <v>24</v>
      </c>
      <c r="H8" s="186" t="s">
        <v>6</v>
      </c>
    </row>
    <row r="9" spans="1:8" ht="15.75" x14ac:dyDescent="0.25">
      <c r="A9" s="8"/>
      <c r="B9" s="74" t="s">
        <v>25</v>
      </c>
      <c r="C9" s="74" t="s">
        <v>26</v>
      </c>
      <c r="D9" s="88"/>
      <c r="E9" s="88"/>
      <c r="F9" s="186" t="s">
        <v>27</v>
      </c>
      <c r="G9" s="186" t="s">
        <v>28</v>
      </c>
      <c r="H9" s="186" t="s">
        <v>17</v>
      </c>
    </row>
    <row r="10" spans="1:8" ht="31.5" x14ac:dyDescent="0.25">
      <c r="A10" s="112">
        <v>1</v>
      </c>
      <c r="B10" s="5" t="s">
        <v>29</v>
      </c>
      <c r="C10" s="45" t="s">
        <v>30</v>
      </c>
      <c r="D10" s="88"/>
      <c r="E10" s="88"/>
      <c r="F10" s="186" t="s">
        <v>31</v>
      </c>
      <c r="G10" s="186" t="s">
        <v>32</v>
      </c>
      <c r="H10" s="186" t="s">
        <v>33</v>
      </c>
    </row>
    <row r="11" spans="1:8" ht="15.75" x14ac:dyDescent="0.25">
      <c r="A11" s="112">
        <v>2</v>
      </c>
      <c r="B11" s="5" t="s">
        <v>34</v>
      </c>
      <c r="C11" s="45" t="s">
        <v>35</v>
      </c>
      <c r="D11" s="88"/>
      <c r="E11" s="88"/>
      <c r="F11" s="186" t="s">
        <v>36</v>
      </c>
      <c r="G11" s="186" t="s">
        <v>37</v>
      </c>
      <c r="H11" s="186" t="s">
        <v>17</v>
      </c>
    </row>
    <row r="12" spans="1:8" ht="15.75" x14ac:dyDescent="0.25">
      <c r="A12" s="112">
        <v>3</v>
      </c>
      <c r="B12" s="5" t="s">
        <v>38</v>
      </c>
      <c r="C12" s="45" t="s">
        <v>39</v>
      </c>
      <c r="F12" s="186" t="s">
        <v>40</v>
      </c>
      <c r="G12" s="186" t="s">
        <v>41</v>
      </c>
      <c r="H12" s="186" t="s">
        <v>42</v>
      </c>
    </row>
    <row r="13" spans="1:8" ht="15.75" x14ac:dyDescent="0.25">
      <c r="F13" s="186" t="s">
        <v>43</v>
      </c>
      <c r="G13" s="186" t="s">
        <v>44</v>
      </c>
      <c r="H13" s="186" t="s">
        <v>17</v>
      </c>
    </row>
    <row r="14" spans="1:8" ht="15.75" x14ac:dyDescent="0.25">
      <c r="F14" s="186" t="s">
        <v>45</v>
      </c>
      <c r="G14" s="186" t="s">
        <v>46</v>
      </c>
      <c r="H14" s="186" t="s">
        <v>6</v>
      </c>
    </row>
    <row r="15" spans="1:8" ht="15.75" x14ac:dyDescent="0.25">
      <c r="B15" s="96" t="s">
        <v>47</v>
      </c>
      <c r="C15" s="97"/>
      <c r="F15" s="186" t="s">
        <v>48</v>
      </c>
      <c r="G15" s="186" t="s">
        <v>49</v>
      </c>
      <c r="H15" s="186" t="s">
        <v>6</v>
      </c>
    </row>
    <row r="16" spans="1:8" ht="15.75" x14ac:dyDescent="0.25">
      <c r="B16" s="98" t="s">
        <v>50</v>
      </c>
      <c r="C16" s="2" t="s">
        <v>51</v>
      </c>
      <c r="F16" s="186" t="s">
        <v>52</v>
      </c>
      <c r="G16" s="186" t="s">
        <v>53</v>
      </c>
      <c r="H16" s="186" t="s">
        <v>10</v>
      </c>
    </row>
    <row r="17" spans="2:8" ht="15.75" x14ac:dyDescent="0.25">
      <c r="B17" s="99" t="s">
        <v>54</v>
      </c>
      <c r="C17" s="7" t="s">
        <v>55</v>
      </c>
      <c r="F17" s="186" t="s">
        <v>56</v>
      </c>
      <c r="G17" s="186" t="s">
        <v>57</v>
      </c>
      <c r="H17" s="186" t="s">
        <v>6</v>
      </c>
    </row>
    <row r="18" spans="2:8" ht="30" x14ac:dyDescent="0.25">
      <c r="B18" s="11"/>
      <c r="C18" s="95" t="s">
        <v>58</v>
      </c>
      <c r="F18" s="186" t="s">
        <v>59</v>
      </c>
      <c r="G18" s="186" t="s">
        <v>60</v>
      </c>
      <c r="H18" s="186" t="s">
        <v>33</v>
      </c>
    </row>
    <row r="19" spans="2:8" ht="15.75" x14ac:dyDescent="0.25">
      <c r="B19" s="11"/>
      <c r="C19" s="9" t="s">
        <v>61</v>
      </c>
      <c r="F19" s="186" t="s">
        <v>62</v>
      </c>
      <c r="G19" s="186" t="s">
        <v>63</v>
      </c>
      <c r="H19" s="186" t="s">
        <v>33</v>
      </c>
    </row>
    <row r="20" spans="2:8" ht="15.75" x14ac:dyDescent="0.25">
      <c r="F20" s="186" t="s">
        <v>64</v>
      </c>
      <c r="G20" s="186" t="s">
        <v>65</v>
      </c>
      <c r="H20" s="186" t="s">
        <v>17</v>
      </c>
    </row>
    <row r="21" spans="2:8" ht="15.75" x14ac:dyDescent="0.25">
      <c r="B21" s="102" t="s">
        <v>66</v>
      </c>
      <c r="C21" s="102"/>
      <c r="D21" s="102"/>
      <c r="F21" s="186" t="s">
        <v>67</v>
      </c>
      <c r="G21" s="186" t="s">
        <v>68</v>
      </c>
      <c r="H21" s="186" t="s">
        <v>17</v>
      </c>
    </row>
    <row r="22" spans="2:8" ht="15.75" x14ac:dyDescent="0.25">
      <c r="B22" s="103" t="s">
        <v>69</v>
      </c>
      <c r="C22" s="2" t="s">
        <v>51</v>
      </c>
      <c r="D22" s="100" t="s">
        <v>70</v>
      </c>
      <c r="F22" s="186" t="s">
        <v>71</v>
      </c>
      <c r="G22" s="186" t="s">
        <v>72</v>
      </c>
      <c r="H22" s="186" t="s">
        <v>10</v>
      </c>
    </row>
    <row r="23" spans="2:8" ht="15.75" x14ac:dyDescent="0.25">
      <c r="B23" s="45" t="s">
        <v>73</v>
      </c>
      <c r="C23" s="10" t="s">
        <v>74</v>
      </c>
      <c r="D23" s="101" t="s">
        <v>75</v>
      </c>
      <c r="F23" s="186" t="s">
        <v>76</v>
      </c>
      <c r="G23" s="186" t="s">
        <v>77</v>
      </c>
      <c r="H23" s="186" t="s">
        <v>78</v>
      </c>
    </row>
    <row r="24" spans="2:8" ht="30" x14ac:dyDescent="0.25">
      <c r="B24" s="45" t="s">
        <v>79</v>
      </c>
      <c r="C24" s="10" t="s">
        <v>80</v>
      </c>
      <c r="D24" s="101" t="s">
        <v>81</v>
      </c>
      <c r="F24" s="186" t="s">
        <v>82</v>
      </c>
      <c r="G24" s="186" t="s">
        <v>83</v>
      </c>
      <c r="H24" s="186" t="s">
        <v>17</v>
      </c>
    </row>
    <row r="25" spans="2:8" ht="45" x14ac:dyDescent="0.25">
      <c r="B25" s="45" t="s">
        <v>84</v>
      </c>
      <c r="C25" s="10" t="s">
        <v>85</v>
      </c>
      <c r="D25" s="101" t="s">
        <v>86</v>
      </c>
      <c r="F25" s="186" t="s">
        <v>87</v>
      </c>
      <c r="G25" s="186" t="s">
        <v>88</v>
      </c>
      <c r="H25" s="186" t="s">
        <v>17</v>
      </c>
    </row>
    <row r="26" spans="2:8" ht="30" x14ac:dyDescent="0.25">
      <c r="B26" s="45" t="s">
        <v>89</v>
      </c>
      <c r="C26" s="10" t="s">
        <v>90</v>
      </c>
      <c r="F26" s="186" t="s">
        <v>91</v>
      </c>
      <c r="G26" s="186" t="s">
        <v>92</v>
      </c>
      <c r="H26" s="186" t="s">
        <v>78</v>
      </c>
    </row>
    <row r="27" spans="2:8" ht="60" x14ac:dyDescent="0.25">
      <c r="B27" s="104" t="s">
        <v>93</v>
      </c>
      <c r="C27" s="10" t="s">
        <v>94</v>
      </c>
      <c r="F27" s="186" t="s">
        <v>95</v>
      </c>
      <c r="G27" s="186" t="s">
        <v>96</v>
      </c>
      <c r="H27" s="186" t="s">
        <v>17</v>
      </c>
    </row>
    <row r="28" spans="2:8" ht="31.5" x14ac:dyDescent="0.25">
      <c r="B28" s="105"/>
      <c r="C28" s="10" t="s">
        <v>97</v>
      </c>
      <c r="F28" s="186" t="s">
        <v>98</v>
      </c>
      <c r="G28" s="186" t="s">
        <v>99</v>
      </c>
      <c r="H28" s="186" t="s">
        <v>6</v>
      </c>
    </row>
    <row r="29" spans="2:8" ht="15.75" x14ac:dyDescent="0.25">
      <c r="C29" s="1"/>
      <c r="F29" s="186" t="s">
        <v>100</v>
      </c>
      <c r="G29" s="186" t="s">
        <v>101</v>
      </c>
      <c r="H29" s="186" t="s">
        <v>78</v>
      </c>
    </row>
    <row r="31" spans="2:8" x14ac:dyDescent="0.25">
      <c r="B31" s="96" t="s">
        <v>102</v>
      </c>
      <c r="C31" s="97"/>
      <c r="D31" s="102"/>
    </row>
    <row r="32" spans="2:8" x14ac:dyDescent="0.25">
      <c r="B32" s="107" t="s">
        <v>103</v>
      </c>
      <c r="C32" s="2" t="s">
        <v>51</v>
      </c>
      <c r="D32" s="100" t="s">
        <v>70</v>
      </c>
    </row>
    <row r="33" spans="2:4" x14ac:dyDescent="0.25">
      <c r="B33" s="106" t="s">
        <v>104</v>
      </c>
      <c r="C33" s="9" t="s">
        <v>105</v>
      </c>
      <c r="D33" s="101" t="s">
        <v>106</v>
      </c>
    </row>
    <row r="34" spans="2:4" x14ac:dyDescent="0.25">
      <c r="B34" s="108"/>
      <c r="C34" s="9" t="s">
        <v>107</v>
      </c>
      <c r="D34" s="101" t="s">
        <v>108</v>
      </c>
    </row>
    <row r="35" spans="2:4" x14ac:dyDescent="0.25">
      <c r="B35" s="108"/>
      <c r="C35" s="9" t="s">
        <v>109</v>
      </c>
    </row>
    <row r="38" spans="2:4" x14ac:dyDescent="0.25">
      <c r="B38" s="96" t="s">
        <v>110</v>
      </c>
      <c r="C38" s="97"/>
      <c r="D38" s="102"/>
    </row>
    <row r="39" spans="2:4" x14ac:dyDescent="0.25">
      <c r="B39" s="107" t="s">
        <v>103</v>
      </c>
      <c r="C39" s="2" t="s">
        <v>51</v>
      </c>
      <c r="D39" s="100" t="s">
        <v>70</v>
      </c>
    </row>
    <row r="40" spans="2:4" ht="45" x14ac:dyDescent="0.25">
      <c r="B40" s="106" t="s">
        <v>111</v>
      </c>
      <c r="C40" s="10" t="s">
        <v>112</v>
      </c>
      <c r="D40" s="101" t="s">
        <v>106</v>
      </c>
    </row>
    <row r="41" spans="2:4" ht="30" x14ac:dyDescent="0.25">
      <c r="B41" s="108"/>
      <c r="C41" s="10" t="s">
        <v>113</v>
      </c>
      <c r="D41" s="101" t="s">
        <v>108</v>
      </c>
    </row>
    <row r="42" spans="2:4" ht="30" x14ac:dyDescent="0.25">
      <c r="B42" s="108"/>
      <c r="C42" s="10" t="s">
        <v>114</v>
      </c>
      <c r="D42" s="101" t="s">
        <v>115</v>
      </c>
    </row>
    <row r="43" spans="2:4" x14ac:dyDescent="0.25">
      <c r="B43" s="4"/>
    </row>
    <row r="44" spans="2:4" x14ac:dyDescent="0.25">
      <c r="B44" s="4"/>
    </row>
  </sheetData>
  <sheetProtection sheet="1" objects="1" scenarios="1"/>
  <hyperlinks>
    <hyperlink ref="B27" r:id="rId1" display="https://people.sc.fsu.edu/%7Emye/ArcNLET/" xr:uid="{98246BB4-D450-4584-86CA-887D56647E30}"/>
  </hyperlinks>
  <pageMargins left="0.7" right="0.7" top="0.75" bottom="0.75" header="0.3" footer="0.3"/>
  <pageSetup orientation="portrait" horizontalDpi="4294967295" verticalDpi="4294967295" r:id="rId2"/>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ED6D-790A-413F-AC59-A86FE30167AF}">
  <sheetPr codeName="Sheet7">
    <tabColor theme="0" tint="-0.499984740745262"/>
  </sheetPr>
  <dimension ref="A1:W105"/>
  <sheetViews>
    <sheetView zoomScaleNormal="100" workbookViewId="0">
      <selection activeCell="E83" sqref="E83"/>
    </sheetView>
  </sheetViews>
  <sheetFormatPr defaultColWidth="23.85546875" defaultRowHeight="15" x14ac:dyDescent="0.25"/>
  <cols>
    <col min="2" max="9" width="14" customWidth="1"/>
    <col min="10" max="10" width="42.5703125" customWidth="1"/>
    <col min="11" max="14" width="8.42578125" customWidth="1"/>
    <col min="15" max="15" width="37.85546875" customWidth="1"/>
    <col min="16" max="16" width="31.28515625" customWidth="1"/>
    <col min="17" max="17" width="12" customWidth="1"/>
    <col min="18" max="18" width="72.42578125" customWidth="1"/>
  </cols>
  <sheetData>
    <row r="1" spans="1:18" ht="51.75" x14ac:dyDescent="0.25">
      <c r="A1" s="12" t="s">
        <v>124</v>
      </c>
      <c r="B1" s="13" t="s">
        <v>371</v>
      </c>
      <c r="C1" s="13" t="s">
        <v>240</v>
      </c>
      <c r="D1" s="13" t="s">
        <v>168</v>
      </c>
      <c r="E1" s="13" t="s">
        <v>123</v>
      </c>
      <c r="F1" s="13" t="s">
        <v>241</v>
      </c>
      <c r="G1" s="13" t="s">
        <v>242</v>
      </c>
      <c r="H1" s="13" t="s">
        <v>243</v>
      </c>
      <c r="I1" s="13" t="s">
        <v>169</v>
      </c>
      <c r="J1" s="12" t="s">
        <v>244</v>
      </c>
      <c r="O1" s="46" t="s">
        <v>245</v>
      </c>
      <c r="P1" s="46" t="s">
        <v>246</v>
      </c>
      <c r="Q1" s="47" t="s">
        <v>242</v>
      </c>
      <c r="R1" s="47" t="s">
        <v>247</v>
      </c>
    </row>
    <row r="2" spans="1:18" ht="15" customHeight="1" x14ac:dyDescent="0.25">
      <c r="A2" t="s">
        <v>248</v>
      </c>
      <c r="B2" s="5">
        <v>2.54</v>
      </c>
      <c r="C2" s="5">
        <v>1</v>
      </c>
      <c r="D2" s="5">
        <v>0.9</v>
      </c>
      <c r="E2" s="6">
        <v>0.5</v>
      </c>
      <c r="F2" s="6">
        <v>0.1</v>
      </c>
      <c r="G2" s="6">
        <v>0.5</v>
      </c>
      <c r="H2" s="6">
        <v>0.65</v>
      </c>
      <c r="I2" s="6">
        <v>0.95</v>
      </c>
      <c r="J2" s="5" t="s">
        <v>249</v>
      </c>
      <c r="O2" s="48" t="s">
        <v>250</v>
      </c>
      <c r="P2" s="48" t="s">
        <v>251</v>
      </c>
      <c r="Q2" s="5">
        <v>0.42899999999999999</v>
      </c>
      <c r="R2" s="45" t="s">
        <v>252</v>
      </c>
    </row>
    <row r="3" spans="1:18" ht="15" customHeight="1" x14ac:dyDescent="0.25">
      <c r="A3" t="s">
        <v>194</v>
      </c>
      <c r="B3" s="5">
        <v>2.92</v>
      </c>
      <c r="C3" s="5">
        <v>1</v>
      </c>
      <c r="D3" s="5">
        <v>0.9</v>
      </c>
      <c r="E3" s="6">
        <v>0.5</v>
      </c>
      <c r="F3" s="6">
        <v>0.1</v>
      </c>
      <c r="G3" s="6">
        <v>0.5</v>
      </c>
      <c r="H3" s="6">
        <v>0.65</v>
      </c>
      <c r="I3" s="6">
        <v>0.95</v>
      </c>
      <c r="J3" s="5" t="s">
        <v>253</v>
      </c>
    </row>
    <row r="4" spans="1:18" x14ac:dyDescent="0.25">
      <c r="A4" t="s">
        <v>254</v>
      </c>
      <c r="B4" s="5">
        <v>2.57</v>
      </c>
      <c r="C4" s="5">
        <v>1</v>
      </c>
      <c r="D4" s="5">
        <v>0.9</v>
      </c>
      <c r="E4" s="6">
        <v>0.5</v>
      </c>
      <c r="F4" s="6">
        <v>0.1</v>
      </c>
      <c r="G4" s="6">
        <v>0.5</v>
      </c>
      <c r="H4" s="6">
        <v>0.65</v>
      </c>
      <c r="I4" s="6">
        <v>0.95</v>
      </c>
      <c r="J4" s="5"/>
      <c r="P4" s="41"/>
    </row>
    <row r="5" spans="1:18" x14ac:dyDescent="0.25">
      <c r="A5" t="s">
        <v>255</v>
      </c>
      <c r="B5" s="5">
        <v>2.6</v>
      </c>
      <c r="C5" s="5">
        <v>1</v>
      </c>
      <c r="D5" s="5">
        <v>0.9</v>
      </c>
      <c r="E5" s="6">
        <v>0.5</v>
      </c>
      <c r="F5" s="6">
        <v>0.1</v>
      </c>
      <c r="G5" s="6">
        <v>0.5</v>
      </c>
      <c r="H5" s="6">
        <v>0.65</v>
      </c>
      <c r="I5" s="6">
        <v>0.95</v>
      </c>
      <c r="J5" s="5"/>
      <c r="P5" s="41"/>
    </row>
    <row r="6" spans="1:18" x14ac:dyDescent="0.25">
      <c r="A6" t="s">
        <v>223</v>
      </c>
      <c r="B6" s="5">
        <v>2.4900000000000002</v>
      </c>
      <c r="C6" s="5">
        <v>1</v>
      </c>
      <c r="D6" s="5">
        <v>0.9</v>
      </c>
      <c r="E6" s="6">
        <v>0.5</v>
      </c>
      <c r="F6" s="6">
        <v>0.1</v>
      </c>
      <c r="G6" s="6">
        <v>0.5</v>
      </c>
      <c r="H6" s="6">
        <v>0.65</v>
      </c>
      <c r="I6" s="6">
        <v>0.95</v>
      </c>
      <c r="J6" s="5"/>
      <c r="P6" s="41"/>
    </row>
    <row r="7" spans="1:18" x14ac:dyDescent="0.25">
      <c r="A7" t="s">
        <v>259</v>
      </c>
      <c r="B7" s="5">
        <v>2.77</v>
      </c>
      <c r="C7" s="5">
        <v>1</v>
      </c>
      <c r="D7" s="5">
        <v>0.9</v>
      </c>
      <c r="E7" s="6">
        <v>0.5</v>
      </c>
      <c r="F7" s="6">
        <v>0.1</v>
      </c>
      <c r="G7" s="6">
        <v>0.5</v>
      </c>
      <c r="H7" s="6">
        <v>0.65</v>
      </c>
      <c r="I7" s="6">
        <v>0.95</v>
      </c>
      <c r="J7" s="5"/>
    </row>
    <row r="8" spans="1:18" x14ac:dyDescent="0.25">
      <c r="A8" t="s">
        <v>261</v>
      </c>
      <c r="B8" s="5">
        <v>2.73</v>
      </c>
      <c r="C8" s="5">
        <v>1</v>
      </c>
      <c r="D8" s="5">
        <v>0.9</v>
      </c>
      <c r="E8" s="6">
        <v>0.5</v>
      </c>
      <c r="F8" s="6">
        <v>0.1</v>
      </c>
      <c r="G8" s="6">
        <v>0.5</v>
      </c>
      <c r="H8" s="6">
        <v>0.65</v>
      </c>
      <c r="I8" s="6">
        <v>0.95</v>
      </c>
      <c r="J8" s="5"/>
    </row>
    <row r="9" spans="1:18" x14ac:dyDescent="0.25">
      <c r="A9" t="s">
        <v>263</v>
      </c>
      <c r="B9" s="5">
        <v>2.2799999999999998</v>
      </c>
      <c r="C9" s="5">
        <v>1</v>
      </c>
      <c r="D9" s="5">
        <v>0.9</v>
      </c>
      <c r="E9" s="6">
        <v>0.5</v>
      </c>
      <c r="F9" s="6">
        <v>0.1</v>
      </c>
      <c r="G9" s="6">
        <v>0.5</v>
      </c>
      <c r="H9" s="6">
        <v>0.65</v>
      </c>
      <c r="I9" s="6">
        <v>0.95</v>
      </c>
      <c r="J9" s="5"/>
    </row>
    <row r="10" spans="1:18" x14ac:dyDescent="0.25">
      <c r="A10" t="s">
        <v>266</v>
      </c>
      <c r="B10" s="5">
        <v>2.2400000000000002</v>
      </c>
      <c r="C10" s="5">
        <v>1</v>
      </c>
      <c r="D10" s="5">
        <v>0.9</v>
      </c>
      <c r="E10" s="6">
        <v>0.5</v>
      </c>
      <c r="F10" s="6">
        <v>0.1</v>
      </c>
      <c r="G10" s="6">
        <v>0.5</v>
      </c>
      <c r="H10" s="6">
        <v>0.65</v>
      </c>
      <c r="I10" s="6">
        <v>0.95</v>
      </c>
      <c r="J10" s="5" t="s">
        <v>267</v>
      </c>
    </row>
    <row r="11" spans="1:18" x14ac:dyDescent="0.25">
      <c r="A11" t="s">
        <v>270</v>
      </c>
      <c r="B11" s="5">
        <v>2.81</v>
      </c>
      <c r="C11" s="5">
        <v>1</v>
      </c>
      <c r="D11" s="5">
        <v>0.9</v>
      </c>
      <c r="E11" s="6">
        <v>0.5</v>
      </c>
      <c r="F11" s="6">
        <v>0.1</v>
      </c>
      <c r="G11" s="6">
        <v>0.5</v>
      </c>
      <c r="H11" s="6">
        <v>0.65</v>
      </c>
      <c r="I11" s="6">
        <v>0.95</v>
      </c>
      <c r="J11" s="5"/>
      <c r="O11" s="46" t="s">
        <v>257</v>
      </c>
      <c r="P11" s="46" t="s">
        <v>258</v>
      </c>
      <c r="Q11" s="50"/>
    </row>
    <row r="12" spans="1:18" x14ac:dyDescent="0.25">
      <c r="A12" t="s">
        <v>273</v>
      </c>
      <c r="B12" s="5">
        <v>2.5499999999999998</v>
      </c>
      <c r="C12" s="5">
        <v>1</v>
      </c>
      <c r="D12" s="5">
        <v>0.9</v>
      </c>
      <c r="E12" s="6">
        <v>0.5</v>
      </c>
      <c r="F12" s="6">
        <v>0.1</v>
      </c>
      <c r="G12" s="6">
        <v>0.5</v>
      </c>
      <c r="H12" s="6">
        <v>0.65</v>
      </c>
      <c r="I12" s="6">
        <v>0.95</v>
      </c>
      <c r="J12" s="5"/>
      <c r="O12" s="48" t="s">
        <v>260</v>
      </c>
      <c r="P12" s="6">
        <v>4.9000000000000002E-2</v>
      </c>
      <c r="Q12" s="44"/>
      <c r="R12" t="s">
        <v>275</v>
      </c>
    </row>
    <row r="13" spans="1:18" x14ac:dyDescent="0.25">
      <c r="A13" t="s">
        <v>276</v>
      </c>
      <c r="B13" s="5">
        <v>2.57</v>
      </c>
      <c r="C13" s="5">
        <v>1</v>
      </c>
      <c r="D13" s="5">
        <v>0.9</v>
      </c>
      <c r="E13" s="6">
        <v>0.5</v>
      </c>
      <c r="F13" s="6">
        <v>0.1</v>
      </c>
      <c r="G13" s="6">
        <v>0.5</v>
      </c>
      <c r="H13" s="6">
        <v>0.65</v>
      </c>
      <c r="I13" s="6">
        <v>0.95</v>
      </c>
      <c r="J13" s="5" t="s">
        <v>253</v>
      </c>
      <c r="O13" s="48" t="s">
        <v>262</v>
      </c>
      <c r="P13" s="6">
        <v>0.16400000000000001</v>
      </c>
      <c r="Q13" s="44"/>
      <c r="R13" t="s">
        <v>279</v>
      </c>
    </row>
    <row r="14" spans="1:18" x14ac:dyDescent="0.25">
      <c r="A14" t="s">
        <v>280</v>
      </c>
      <c r="B14" s="5">
        <v>2.74</v>
      </c>
      <c r="C14" s="5">
        <v>1</v>
      </c>
      <c r="D14" s="5">
        <v>0.9</v>
      </c>
      <c r="E14" s="6">
        <v>0.5</v>
      </c>
      <c r="F14" s="6">
        <v>0.1</v>
      </c>
      <c r="G14" s="6">
        <v>0.5</v>
      </c>
      <c r="H14" s="6">
        <v>0.65</v>
      </c>
      <c r="I14" s="6">
        <v>0.95</v>
      </c>
      <c r="J14" s="5"/>
      <c r="O14" s="48" t="s">
        <v>264</v>
      </c>
      <c r="P14" s="6" t="s">
        <v>265</v>
      </c>
      <c r="Q14" s="44"/>
    </row>
    <row r="15" spans="1:18" x14ac:dyDescent="0.25">
      <c r="A15" t="s">
        <v>282</v>
      </c>
      <c r="B15" s="5">
        <v>2.2799999999999998</v>
      </c>
      <c r="C15" s="5">
        <v>1</v>
      </c>
      <c r="D15" s="5">
        <v>0.9</v>
      </c>
      <c r="E15" s="6">
        <v>0.5</v>
      </c>
      <c r="F15" s="6">
        <v>0.1</v>
      </c>
      <c r="G15" s="6">
        <v>0.5</v>
      </c>
      <c r="H15" s="6">
        <v>0.65</v>
      </c>
      <c r="I15" s="6">
        <v>0.95</v>
      </c>
      <c r="J15" s="5"/>
      <c r="O15" s="48" t="s">
        <v>268</v>
      </c>
      <c r="P15" s="6" t="s">
        <v>269</v>
      </c>
      <c r="Q15" s="44"/>
    </row>
    <row r="16" spans="1:18" x14ac:dyDescent="0.25">
      <c r="A16" t="s">
        <v>285</v>
      </c>
      <c r="B16" s="5">
        <v>2.5499999999999998</v>
      </c>
      <c r="C16" s="5">
        <v>1</v>
      </c>
      <c r="D16" s="5">
        <v>0.9</v>
      </c>
      <c r="E16" s="6">
        <v>0.5</v>
      </c>
      <c r="F16" s="6">
        <v>0.1</v>
      </c>
      <c r="G16" s="6">
        <v>0.5</v>
      </c>
      <c r="H16" s="6">
        <v>0.65</v>
      </c>
      <c r="I16" s="6">
        <v>0.95</v>
      </c>
      <c r="J16" s="5"/>
      <c r="O16" s="48" t="s">
        <v>271</v>
      </c>
      <c r="P16" s="6" t="s">
        <v>272</v>
      </c>
      <c r="Q16" s="44"/>
    </row>
    <row r="17" spans="1:17" x14ac:dyDescent="0.25">
      <c r="A17" t="s">
        <v>286</v>
      </c>
      <c r="B17" s="5">
        <v>2.4700000000000002</v>
      </c>
      <c r="C17" s="5">
        <v>1</v>
      </c>
      <c r="D17" s="5">
        <v>0.9</v>
      </c>
      <c r="E17" s="6">
        <v>0.5</v>
      </c>
      <c r="F17" s="6">
        <v>0.1</v>
      </c>
      <c r="G17" s="6">
        <v>0.5</v>
      </c>
      <c r="H17" s="6">
        <v>0.65</v>
      </c>
      <c r="I17" s="6">
        <v>0.95</v>
      </c>
      <c r="J17" s="5"/>
      <c r="O17" s="48" t="s">
        <v>274</v>
      </c>
      <c r="P17" s="6" t="s">
        <v>372</v>
      </c>
      <c r="Q17" s="44"/>
    </row>
    <row r="18" spans="1:17" x14ac:dyDescent="0.25">
      <c r="A18" t="s">
        <v>288</v>
      </c>
      <c r="B18" s="5">
        <v>2.62</v>
      </c>
      <c r="C18" s="5">
        <v>1</v>
      </c>
      <c r="D18" s="5">
        <v>0.9</v>
      </c>
      <c r="E18" s="6">
        <v>0.5</v>
      </c>
      <c r="F18" s="6">
        <v>0.1</v>
      </c>
      <c r="G18" s="6">
        <v>0.5</v>
      </c>
      <c r="H18" s="6">
        <v>0.65</v>
      </c>
      <c r="I18" s="6">
        <v>0.95</v>
      </c>
      <c r="J18" s="5"/>
      <c r="O18" s="48" t="s">
        <v>277</v>
      </c>
      <c r="P18" s="6" t="s">
        <v>278</v>
      </c>
      <c r="Q18" s="44"/>
    </row>
    <row r="19" spans="1:17" x14ac:dyDescent="0.25">
      <c r="A19" t="s">
        <v>289</v>
      </c>
      <c r="B19" s="5">
        <v>2.35</v>
      </c>
      <c r="C19" s="5">
        <v>1</v>
      </c>
      <c r="D19" s="5">
        <v>0.9</v>
      </c>
      <c r="E19" s="6">
        <v>0.5</v>
      </c>
      <c r="F19" s="6">
        <v>0.1</v>
      </c>
      <c r="G19" s="6">
        <v>0.5</v>
      </c>
      <c r="H19" s="6">
        <v>0.65</v>
      </c>
      <c r="I19" s="6">
        <v>0.95</v>
      </c>
      <c r="J19" s="5"/>
      <c r="O19" s="48" t="s">
        <v>281</v>
      </c>
      <c r="P19" s="6" t="s">
        <v>278</v>
      </c>
      <c r="Q19" s="44"/>
    </row>
    <row r="20" spans="1:17" x14ac:dyDescent="0.25">
      <c r="A20" t="s">
        <v>290</v>
      </c>
      <c r="B20" s="5">
        <v>2.4700000000000002</v>
      </c>
      <c r="C20" s="5">
        <v>1</v>
      </c>
      <c r="D20" s="5">
        <v>0.9</v>
      </c>
      <c r="E20" s="6">
        <v>0.4</v>
      </c>
      <c r="F20" s="6">
        <v>0.1</v>
      </c>
      <c r="G20" s="6">
        <v>0.5</v>
      </c>
      <c r="H20" s="6">
        <v>0.65</v>
      </c>
      <c r="I20" s="6">
        <v>0.95</v>
      </c>
      <c r="J20" s="5" t="s">
        <v>291</v>
      </c>
      <c r="O20" s="48" t="s">
        <v>283</v>
      </c>
      <c r="P20" s="6" t="s">
        <v>284</v>
      </c>
      <c r="Q20" s="44"/>
    </row>
    <row r="21" spans="1:17" x14ac:dyDescent="0.25">
      <c r="A21" t="s">
        <v>292</v>
      </c>
      <c r="B21" s="5">
        <v>2.5</v>
      </c>
      <c r="C21" s="5">
        <v>1</v>
      </c>
      <c r="D21" s="5">
        <v>0.9</v>
      </c>
      <c r="E21" s="6">
        <v>0.5</v>
      </c>
      <c r="F21" s="6">
        <v>0.1</v>
      </c>
      <c r="G21" s="6">
        <v>0.5</v>
      </c>
      <c r="H21" s="6">
        <v>0.65</v>
      </c>
      <c r="I21" s="6">
        <v>0.95</v>
      </c>
      <c r="J21" s="5" t="s">
        <v>253</v>
      </c>
    </row>
    <row r="22" spans="1:17" x14ac:dyDescent="0.25">
      <c r="A22" t="s">
        <v>293</v>
      </c>
      <c r="B22" s="5">
        <v>2.71</v>
      </c>
      <c r="C22" s="5">
        <v>1</v>
      </c>
      <c r="D22" s="5">
        <v>0.9</v>
      </c>
      <c r="E22" s="6">
        <v>0.5</v>
      </c>
      <c r="F22" s="6">
        <v>0.1</v>
      </c>
      <c r="G22" s="6">
        <v>0.5</v>
      </c>
      <c r="H22" s="6">
        <v>0.65</v>
      </c>
      <c r="I22" s="6">
        <v>0.95</v>
      </c>
      <c r="J22" s="5"/>
    </row>
    <row r="23" spans="1:17" x14ac:dyDescent="0.25">
      <c r="A23" t="s">
        <v>294</v>
      </c>
      <c r="B23" s="5">
        <v>2.5499999999999998</v>
      </c>
      <c r="C23" s="5">
        <v>1</v>
      </c>
      <c r="D23" s="5">
        <v>0.9</v>
      </c>
      <c r="E23" s="6">
        <v>0.5</v>
      </c>
      <c r="F23" s="6">
        <v>0.1</v>
      </c>
      <c r="G23" s="6">
        <v>0.5</v>
      </c>
      <c r="H23" s="6">
        <v>0.65</v>
      </c>
      <c r="I23" s="6">
        <v>0.95</v>
      </c>
      <c r="J23" s="5"/>
    </row>
    <row r="24" spans="1:17" x14ac:dyDescent="0.25">
      <c r="A24" t="s">
        <v>295</v>
      </c>
      <c r="B24" s="5">
        <v>2.44</v>
      </c>
      <c r="C24" s="5">
        <v>1</v>
      </c>
      <c r="D24" s="5">
        <v>0.9</v>
      </c>
      <c r="E24" s="6">
        <v>0.5</v>
      </c>
      <c r="F24" s="6">
        <v>0.1</v>
      </c>
      <c r="G24" s="6">
        <v>0.5</v>
      </c>
      <c r="H24" s="6">
        <v>0.65</v>
      </c>
      <c r="I24" s="6">
        <v>0.95</v>
      </c>
      <c r="J24" s="5"/>
    </row>
    <row r="25" spans="1:17" x14ac:dyDescent="0.25">
      <c r="A25" t="s">
        <v>296</v>
      </c>
      <c r="B25" s="5">
        <v>3.22</v>
      </c>
      <c r="C25" s="5">
        <v>1</v>
      </c>
      <c r="D25" s="5">
        <v>0.9</v>
      </c>
      <c r="E25" s="6">
        <v>0.5</v>
      </c>
      <c r="F25" s="6">
        <v>0.1</v>
      </c>
      <c r="G25" s="6">
        <v>0.5</v>
      </c>
      <c r="H25" s="6">
        <v>0.65</v>
      </c>
      <c r="I25" s="6">
        <v>0.95</v>
      </c>
      <c r="J25" s="5"/>
    </row>
    <row r="26" spans="1:17" x14ac:dyDescent="0.25">
      <c r="A26" t="s">
        <v>297</v>
      </c>
      <c r="B26" s="5">
        <v>3.17</v>
      </c>
      <c r="C26" s="5">
        <v>1</v>
      </c>
      <c r="D26" s="5">
        <v>0.9</v>
      </c>
      <c r="E26" s="6">
        <v>0.5</v>
      </c>
      <c r="F26" s="6">
        <v>0.1</v>
      </c>
      <c r="G26" s="6">
        <v>0.5</v>
      </c>
      <c r="H26" s="6">
        <v>0.65</v>
      </c>
      <c r="I26" s="6">
        <v>0.95</v>
      </c>
      <c r="J26" s="5"/>
    </row>
    <row r="27" spans="1:17" ht="28.5" customHeight="1" x14ac:dyDescent="0.25">
      <c r="A27" t="s">
        <v>298</v>
      </c>
      <c r="B27" s="5">
        <v>2.46</v>
      </c>
      <c r="C27" s="5">
        <v>1</v>
      </c>
      <c r="D27" s="5">
        <v>0.9</v>
      </c>
      <c r="E27" s="6">
        <v>0.5</v>
      </c>
      <c r="F27" s="6">
        <v>0.1</v>
      </c>
      <c r="G27" s="6">
        <v>0.5</v>
      </c>
      <c r="H27" s="6">
        <v>0.65</v>
      </c>
      <c r="I27" s="6">
        <v>0.95</v>
      </c>
      <c r="J27" s="5" t="s">
        <v>299</v>
      </c>
      <c r="O27" s="77" t="s">
        <v>300</v>
      </c>
      <c r="P27" s="46" t="s">
        <v>301</v>
      </c>
    </row>
    <row r="28" spans="1:17" x14ac:dyDescent="0.25">
      <c r="A28" t="s">
        <v>302</v>
      </c>
      <c r="B28" s="5">
        <v>2.44</v>
      </c>
      <c r="C28" s="5">
        <v>1</v>
      </c>
      <c r="D28" s="5">
        <v>0.9</v>
      </c>
      <c r="E28" s="6">
        <v>0.5</v>
      </c>
      <c r="F28" s="6">
        <v>0.1</v>
      </c>
      <c r="G28" s="6">
        <v>0.5</v>
      </c>
      <c r="H28" s="6">
        <v>0.65</v>
      </c>
      <c r="I28" s="6">
        <v>0.95</v>
      </c>
      <c r="J28" s="5"/>
      <c r="O28" s="48" t="s">
        <v>303</v>
      </c>
      <c r="P28" s="6">
        <v>0.7</v>
      </c>
    </row>
    <row r="29" spans="1:17" x14ac:dyDescent="0.25">
      <c r="A29" t="s">
        <v>304</v>
      </c>
      <c r="B29" s="5">
        <v>2.63</v>
      </c>
      <c r="C29" s="5">
        <v>1</v>
      </c>
      <c r="D29" s="5">
        <v>0.9</v>
      </c>
      <c r="E29" s="6">
        <v>0.5</v>
      </c>
      <c r="F29" s="6">
        <v>0.1</v>
      </c>
      <c r="G29" s="6">
        <v>0.5</v>
      </c>
      <c r="H29" s="6">
        <v>0.65</v>
      </c>
      <c r="I29" s="6">
        <v>0.95</v>
      </c>
      <c r="J29" s="5"/>
      <c r="O29" s="48" t="s">
        <v>305</v>
      </c>
      <c r="P29" s="6">
        <v>0.49</v>
      </c>
    </row>
    <row r="30" spans="1:17" x14ac:dyDescent="0.25">
      <c r="A30" t="s">
        <v>306</v>
      </c>
      <c r="B30" s="5">
        <v>2.5099999999999998</v>
      </c>
      <c r="C30" s="5">
        <v>1</v>
      </c>
      <c r="D30" s="5">
        <v>0.9</v>
      </c>
      <c r="E30" s="6">
        <v>0.5</v>
      </c>
      <c r="F30" s="6">
        <v>0.1</v>
      </c>
      <c r="G30" s="6">
        <v>0.5</v>
      </c>
      <c r="H30" s="6">
        <v>0.65</v>
      </c>
      <c r="I30" s="6">
        <v>0.95</v>
      </c>
      <c r="J30" s="5"/>
      <c r="O30" s="48" t="s">
        <v>307</v>
      </c>
      <c r="P30" s="6">
        <v>0.35</v>
      </c>
    </row>
    <row r="31" spans="1:17" x14ac:dyDescent="0.25">
      <c r="A31" t="s">
        <v>308</v>
      </c>
      <c r="B31" s="5">
        <v>2.6</v>
      </c>
      <c r="C31" s="5">
        <v>1</v>
      </c>
      <c r="D31" s="5">
        <v>0.9</v>
      </c>
      <c r="E31" s="6">
        <v>0.5</v>
      </c>
      <c r="F31" s="6">
        <v>0.1</v>
      </c>
      <c r="G31" s="6">
        <v>0.5</v>
      </c>
      <c r="H31" s="6">
        <v>0.65</v>
      </c>
      <c r="I31" s="6">
        <v>0.95</v>
      </c>
      <c r="J31" s="5"/>
      <c r="O31" s="48" t="s">
        <v>309</v>
      </c>
      <c r="P31" s="6">
        <v>0.35</v>
      </c>
    </row>
    <row r="32" spans="1:17" x14ac:dyDescent="0.25">
      <c r="A32" t="s">
        <v>310</v>
      </c>
      <c r="B32" s="5">
        <v>2.4</v>
      </c>
      <c r="C32" s="5">
        <v>1</v>
      </c>
      <c r="D32" s="5">
        <v>0.9</v>
      </c>
      <c r="E32" s="6">
        <v>0.5</v>
      </c>
      <c r="F32" s="6">
        <v>0.1</v>
      </c>
      <c r="G32" s="6">
        <v>0.5</v>
      </c>
      <c r="H32" s="6">
        <v>0.65</v>
      </c>
      <c r="I32" s="6">
        <v>0.95</v>
      </c>
      <c r="J32" s="5" t="s">
        <v>37</v>
      </c>
      <c r="O32" s="48" t="s">
        <v>311</v>
      </c>
      <c r="P32" s="6">
        <v>0.35</v>
      </c>
    </row>
    <row r="33" spans="1:16" x14ac:dyDescent="0.25">
      <c r="A33" t="s">
        <v>312</v>
      </c>
      <c r="B33" s="5">
        <v>2.04</v>
      </c>
      <c r="C33" s="5">
        <v>1</v>
      </c>
      <c r="D33" s="5">
        <v>0.9</v>
      </c>
      <c r="E33" s="6">
        <v>0.5</v>
      </c>
      <c r="F33" s="6">
        <v>0.1</v>
      </c>
      <c r="G33" s="6">
        <v>0.5</v>
      </c>
      <c r="H33" s="6">
        <v>0.65</v>
      </c>
      <c r="I33" s="6">
        <v>0.95</v>
      </c>
      <c r="J33" s="5" t="s">
        <v>313</v>
      </c>
      <c r="O33" s="48" t="s">
        <v>314</v>
      </c>
      <c r="P33" s="6">
        <v>7.0000000000000007E-2</v>
      </c>
    </row>
    <row r="34" spans="1:16" x14ac:dyDescent="0.25">
      <c r="A34" t="s">
        <v>315</v>
      </c>
      <c r="B34" s="5">
        <v>3.43</v>
      </c>
      <c r="C34" s="5">
        <v>1</v>
      </c>
      <c r="D34" s="5">
        <v>0.9</v>
      </c>
      <c r="E34" s="6">
        <v>0.5</v>
      </c>
      <c r="F34" s="6">
        <v>0.1</v>
      </c>
      <c r="G34" s="6">
        <v>0.5</v>
      </c>
      <c r="H34" s="6">
        <v>0.65</v>
      </c>
      <c r="I34" s="6">
        <v>0.95</v>
      </c>
      <c r="J34" s="5"/>
    </row>
    <row r="35" spans="1:16" x14ac:dyDescent="0.25">
      <c r="A35" t="s">
        <v>316</v>
      </c>
      <c r="B35" s="5">
        <v>2.5499999999999998</v>
      </c>
      <c r="C35" s="5">
        <v>1</v>
      </c>
      <c r="D35" s="5">
        <v>0.9</v>
      </c>
      <c r="E35" s="6">
        <v>0.5</v>
      </c>
      <c r="F35" s="6">
        <v>0.1</v>
      </c>
      <c r="G35" s="6">
        <v>0.5</v>
      </c>
      <c r="H35" s="6">
        <v>0.65</v>
      </c>
      <c r="I35" s="6">
        <v>0.95</v>
      </c>
      <c r="J35" s="5" t="s">
        <v>317</v>
      </c>
    </row>
    <row r="36" spans="1:16" x14ac:dyDescent="0.25">
      <c r="A36" t="s">
        <v>318</v>
      </c>
      <c r="B36" s="5">
        <v>2.61</v>
      </c>
      <c r="C36" s="5">
        <v>1</v>
      </c>
      <c r="D36" s="5">
        <v>0.9</v>
      </c>
      <c r="E36" s="6">
        <v>0.5</v>
      </c>
      <c r="F36" s="6">
        <v>0.1</v>
      </c>
      <c r="G36" s="6">
        <v>0.5</v>
      </c>
      <c r="H36" s="6">
        <v>0.65</v>
      </c>
      <c r="I36" s="6">
        <v>0.95</v>
      </c>
      <c r="J36" s="5"/>
    </row>
    <row r="37" spans="1:16" x14ac:dyDescent="0.25">
      <c r="A37" t="s">
        <v>319</v>
      </c>
      <c r="B37" s="5">
        <v>2.4300000000000002</v>
      </c>
      <c r="C37" s="5">
        <v>1</v>
      </c>
      <c r="D37" s="5">
        <v>0.9</v>
      </c>
      <c r="E37" s="6">
        <v>0.4</v>
      </c>
      <c r="F37" s="6">
        <v>0.1</v>
      </c>
      <c r="G37" s="6">
        <v>0.5</v>
      </c>
      <c r="H37" s="6">
        <v>0.65</v>
      </c>
      <c r="I37" s="6">
        <v>0.95</v>
      </c>
      <c r="J37" s="5" t="s">
        <v>291</v>
      </c>
    </row>
    <row r="38" spans="1:16" x14ac:dyDescent="0.25">
      <c r="A38" t="s">
        <v>320</v>
      </c>
      <c r="B38" s="5">
        <v>2.41</v>
      </c>
      <c r="C38" s="5">
        <v>1</v>
      </c>
      <c r="D38" s="5">
        <v>0.9</v>
      </c>
      <c r="E38" s="6">
        <v>0.5</v>
      </c>
      <c r="F38" s="6">
        <v>0.1</v>
      </c>
      <c r="G38" s="6">
        <v>0.5</v>
      </c>
      <c r="H38" s="6">
        <v>0.65</v>
      </c>
      <c r="I38" s="6">
        <v>0.95</v>
      </c>
      <c r="J38" s="5" t="s">
        <v>321</v>
      </c>
    </row>
    <row r="39" spans="1:16" x14ac:dyDescent="0.25">
      <c r="A39" t="s">
        <v>322</v>
      </c>
      <c r="B39" s="5">
        <v>2.9</v>
      </c>
      <c r="C39" s="5">
        <v>1</v>
      </c>
      <c r="D39" s="5">
        <v>0.9</v>
      </c>
      <c r="E39" s="6">
        <v>0.5</v>
      </c>
      <c r="F39" s="6">
        <v>0.1</v>
      </c>
      <c r="G39" s="6">
        <v>0.5</v>
      </c>
      <c r="H39" s="6">
        <v>0.65</v>
      </c>
      <c r="I39" s="6">
        <v>0.95</v>
      </c>
      <c r="J39" s="5"/>
    </row>
    <row r="40" spans="1:16" x14ac:dyDescent="0.25">
      <c r="A40" t="s">
        <v>323</v>
      </c>
      <c r="B40" s="5">
        <v>2.4500000000000002</v>
      </c>
      <c r="C40" s="5">
        <v>1</v>
      </c>
      <c r="D40" s="5">
        <v>0.9</v>
      </c>
      <c r="E40" s="6">
        <v>0.5</v>
      </c>
      <c r="F40" s="6">
        <v>0.1</v>
      </c>
      <c r="G40" s="6">
        <v>0.5</v>
      </c>
      <c r="H40" s="6">
        <v>0.65</v>
      </c>
      <c r="I40" s="6">
        <v>0.95</v>
      </c>
      <c r="J40" s="5" t="s">
        <v>88</v>
      </c>
    </row>
    <row r="41" spans="1:16" x14ac:dyDescent="0.25">
      <c r="A41" t="s">
        <v>324</v>
      </c>
      <c r="B41" s="5">
        <v>2.57</v>
      </c>
      <c r="C41" s="5">
        <v>1</v>
      </c>
      <c r="D41" s="5">
        <v>0.9</v>
      </c>
      <c r="E41" s="6">
        <v>0.5</v>
      </c>
      <c r="F41" s="6">
        <v>0.1</v>
      </c>
      <c r="G41" s="6">
        <v>0.5</v>
      </c>
      <c r="H41" s="6">
        <v>0.65</v>
      </c>
      <c r="I41" s="6">
        <v>0.95</v>
      </c>
      <c r="J41" s="5"/>
    </row>
    <row r="42" spans="1:16" x14ac:dyDescent="0.25">
      <c r="A42" t="s">
        <v>325</v>
      </c>
      <c r="B42" s="5">
        <v>2.48</v>
      </c>
      <c r="C42" s="5">
        <v>1</v>
      </c>
      <c r="D42" s="5">
        <v>0.9</v>
      </c>
      <c r="E42" s="6">
        <v>0.5</v>
      </c>
      <c r="F42" s="6">
        <v>0.1</v>
      </c>
      <c r="G42" s="6">
        <v>0.5</v>
      </c>
      <c r="H42" s="6">
        <v>0.65</v>
      </c>
      <c r="I42" s="6">
        <v>0.95</v>
      </c>
      <c r="J42" s="5" t="s">
        <v>321</v>
      </c>
    </row>
    <row r="43" spans="1:16" x14ac:dyDescent="0.25">
      <c r="A43" t="s">
        <v>326</v>
      </c>
      <c r="B43" s="5">
        <v>2.41</v>
      </c>
      <c r="C43" s="5">
        <v>1</v>
      </c>
      <c r="D43" s="5">
        <v>0.9</v>
      </c>
      <c r="E43" s="6">
        <v>0.5</v>
      </c>
      <c r="F43" s="6">
        <v>0.1</v>
      </c>
      <c r="G43" s="6">
        <v>0.5</v>
      </c>
      <c r="H43" s="6">
        <v>0.65</v>
      </c>
      <c r="I43" s="6">
        <v>0.95</v>
      </c>
      <c r="J43" s="5"/>
    </row>
    <row r="44" spans="1:16" x14ac:dyDescent="0.25">
      <c r="A44" t="s">
        <v>327</v>
      </c>
      <c r="B44" s="5">
        <v>2.39</v>
      </c>
      <c r="C44" s="5">
        <v>1</v>
      </c>
      <c r="D44" s="5">
        <v>0.9</v>
      </c>
      <c r="E44" s="6">
        <v>0.5</v>
      </c>
      <c r="F44" s="6">
        <v>0.1</v>
      </c>
      <c r="G44" s="6">
        <v>0.5</v>
      </c>
      <c r="H44" s="6">
        <v>0.65</v>
      </c>
      <c r="I44" s="6">
        <v>0.95</v>
      </c>
      <c r="J44" s="5"/>
    </row>
    <row r="45" spans="1:16" x14ac:dyDescent="0.25">
      <c r="A45" t="s">
        <v>328</v>
      </c>
      <c r="B45" s="5">
        <v>2.5499999999999998</v>
      </c>
      <c r="C45" s="5">
        <v>1</v>
      </c>
      <c r="D45" s="5">
        <v>0.9</v>
      </c>
      <c r="E45" s="6">
        <v>0.5</v>
      </c>
      <c r="F45" s="6">
        <v>0.1</v>
      </c>
      <c r="G45" s="6">
        <v>0.5</v>
      </c>
      <c r="H45" s="6">
        <v>0.65</v>
      </c>
      <c r="I45" s="6">
        <v>0.95</v>
      </c>
      <c r="J45" s="5"/>
    </row>
    <row r="46" spans="1:16" x14ac:dyDescent="0.25">
      <c r="A46" t="s">
        <v>329</v>
      </c>
      <c r="B46" s="5">
        <v>2.52</v>
      </c>
      <c r="C46" s="5">
        <v>1</v>
      </c>
      <c r="D46" s="5">
        <v>0.9</v>
      </c>
      <c r="E46" s="6">
        <v>0.5</v>
      </c>
      <c r="F46" s="6">
        <v>0.1</v>
      </c>
      <c r="G46" s="6">
        <v>0.5</v>
      </c>
      <c r="H46" s="6">
        <v>0.65</v>
      </c>
      <c r="I46" s="6">
        <v>0.95</v>
      </c>
      <c r="J46" s="5"/>
    </row>
    <row r="47" spans="1:16" x14ac:dyDescent="0.25">
      <c r="A47" t="s">
        <v>330</v>
      </c>
      <c r="B47" s="5">
        <v>2.73</v>
      </c>
      <c r="C47" s="5">
        <v>1</v>
      </c>
      <c r="D47" s="5">
        <v>0.9</v>
      </c>
      <c r="E47" s="6">
        <v>0.5</v>
      </c>
      <c r="F47" s="6">
        <v>0.1</v>
      </c>
      <c r="G47" s="6">
        <v>0.5</v>
      </c>
      <c r="H47" s="6">
        <v>0.65</v>
      </c>
      <c r="I47" s="6">
        <v>0.95</v>
      </c>
      <c r="J47" s="5"/>
    </row>
    <row r="48" spans="1:16" x14ac:dyDescent="0.25">
      <c r="A48" t="s">
        <v>331</v>
      </c>
      <c r="B48" s="5">
        <v>2.81</v>
      </c>
      <c r="C48" s="5">
        <v>1</v>
      </c>
      <c r="D48" s="5">
        <v>0.9</v>
      </c>
      <c r="E48" s="6">
        <v>0.5</v>
      </c>
      <c r="F48" s="6">
        <v>0.1</v>
      </c>
      <c r="G48" s="6">
        <v>0.5</v>
      </c>
      <c r="H48" s="6">
        <v>0.65</v>
      </c>
      <c r="I48" s="6">
        <v>0.95</v>
      </c>
      <c r="J48" s="5" t="s">
        <v>332</v>
      </c>
    </row>
    <row r="49" spans="1:18" x14ac:dyDescent="0.25">
      <c r="A49" t="s">
        <v>333</v>
      </c>
      <c r="B49" s="5">
        <v>3.4</v>
      </c>
      <c r="C49" s="5">
        <v>1</v>
      </c>
      <c r="D49" s="5">
        <v>0.9</v>
      </c>
      <c r="E49" s="6">
        <v>0.5</v>
      </c>
      <c r="F49" s="6">
        <v>0.1</v>
      </c>
      <c r="G49" s="6">
        <v>0.5</v>
      </c>
      <c r="H49" s="6">
        <v>0.65</v>
      </c>
      <c r="I49" s="6">
        <v>0.95</v>
      </c>
      <c r="J49" s="5"/>
    </row>
    <row r="50" spans="1:18" x14ac:dyDescent="0.25">
      <c r="A50" t="s">
        <v>334</v>
      </c>
      <c r="B50" s="5">
        <v>2.6</v>
      </c>
      <c r="C50" s="5">
        <v>1</v>
      </c>
      <c r="D50" s="5">
        <v>0.9</v>
      </c>
      <c r="E50" s="6">
        <v>0.5</v>
      </c>
      <c r="F50" s="6">
        <v>0.1</v>
      </c>
      <c r="G50" s="6">
        <v>0.5</v>
      </c>
      <c r="H50" s="6">
        <v>0.65</v>
      </c>
      <c r="I50" s="6">
        <v>0.95</v>
      </c>
      <c r="J50" s="5"/>
    </row>
    <row r="51" spans="1:18" x14ac:dyDescent="0.25">
      <c r="A51" t="s">
        <v>335</v>
      </c>
      <c r="B51" s="5">
        <v>2.52</v>
      </c>
      <c r="C51" s="5">
        <v>1</v>
      </c>
      <c r="D51" s="5">
        <v>0.9</v>
      </c>
      <c r="E51" s="6">
        <v>0.5</v>
      </c>
      <c r="F51" s="6">
        <v>0.1</v>
      </c>
      <c r="G51" s="6">
        <v>0.5</v>
      </c>
      <c r="H51" s="6">
        <v>0.65</v>
      </c>
      <c r="I51" s="6">
        <v>0.95</v>
      </c>
      <c r="J51" s="5" t="s">
        <v>96</v>
      </c>
    </row>
    <row r="52" spans="1:18" x14ac:dyDescent="0.25">
      <c r="A52" t="s">
        <v>336</v>
      </c>
      <c r="B52" s="5">
        <v>2.31</v>
      </c>
      <c r="C52" s="5">
        <v>1</v>
      </c>
      <c r="D52" s="5">
        <v>0.9</v>
      </c>
      <c r="E52" s="6">
        <v>0.5</v>
      </c>
      <c r="F52" s="6">
        <v>0.1</v>
      </c>
      <c r="G52" s="6">
        <v>0.5</v>
      </c>
      <c r="H52" s="6">
        <v>0.65</v>
      </c>
      <c r="I52" s="6">
        <v>0.95</v>
      </c>
      <c r="J52" s="5"/>
    </row>
    <row r="53" spans="1:18" x14ac:dyDescent="0.25">
      <c r="A53" t="s">
        <v>337</v>
      </c>
      <c r="B53" s="5">
        <v>2.84</v>
      </c>
      <c r="C53" s="5">
        <v>1</v>
      </c>
      <c r="D53" s="5">
        <v>0.9</v>
      </c>
      <c r="E53" s="6">
        <v>0.5</v>
      </c>
      <c r="F53" s="6">
        <v>0.1</v>
      </c>
      <c r="G53" s="6">
        <v>0.5</v>
      </c>
      <c r="H53" s="6">
        <v>0.65</v>
      </c>
      <c r="I53" s="6">
        <v>0.95</v>
      </c>
      <c r="J53" s="5"/>
      <c r="R53" t="s">
        <v>338</v>
      </c>
    </row>
    <row r="54" spans="1:18" x14ac:dyDescent="0.25">
      <c r="A54" t="s">
        <v>339</v>
      </c>
      <c r="B54" s="5">
        <v>2.52</v>
      </c>
      <c r="C54" s="5">
        <v>1</v>
      </c>
      <c r="D54" s="5">
        <v>0.9</v>
      </c>
      <c r="E54" s="6">
        <v>0.5</v>
      </c>
      <c r="F54" s="6">
        <v>0.1</v>
      </c>
      <c r="G54" s="6">
        <v>0.5</v>
      </c>
      <c r="H54" s="6">
        <v>0.65</v>
      </c>
      <c r="I54" s="6">
        <v>0.95</v>
      </c>
      <c r="J54" s="5" t="s">
        <v>317</v>
      </c>
    </row>
    <row r="55" spans="1:18" x14ac:dyDescent="0.25">
      <c r="A55" t="s">
        <v>340</v>
      </c>
      <c r="B55" s="5">
        <v>2.68</v>
      </c>
      <c r="C55" s="5">
        <v>1</v>
      </c>
      <c r="D55" s="5">
        <v>0.9</v>
      </c>
      <c r="E55" s="6">
        <v>0.5</v>
      </c>
      <c r="F55" s="6">
        <v>0.1</v>
      </c>
      <c r="G55" s="6">
        <v>0.5</v>
      </c>
      <c r="H55" s="6">
        <v>0.65</v>
      </c>
      <c r="I55" s="6">
        <v>0.95</v>
      </c>
      <c r="J55" s="5"/>
    </row>
    <row r="56" spans="1:18" x14ac:dyDescent="0.25">
      <c r="A56" t="s">
        <v>341</v>
      </c>
      <c r="B56" s="5">
        <v>2.25</v>
      </c>
      <c r="C56" s="5">
        <v>1</v>
      </c>
      <c r="D56" s="5">
        <v>0.9</v>
      </c>
      <c r="E56" s="6">
        <v>0.5</v>
      </c>
      <c r="F56" s="6">
        <v>0.1</v>
      </c>
      <c r="G56" s="6">
        <v>0.5</v>
      </c>
      <c r="H56" s="6">
        <v>0.65</v>
      </c>
      <c r="I56" s="6">
        <v>0.95</v>
      </c>
      <c r="J56" s="5"/>
    </row>
    <row r="57" spans="1:18" x14ac:dyDescent="0.25">
      <c r="A57" t="s">
        <v>342</v>
      </c>
      <c r="B57" s="5">
        <v>2.7</v>
      </c>
      <c r="C57" s="5">
        <v>1</v>
      </c>
      <c r="D57" s="5">
        <v>0.9</v>
      </c>
      <c r="E57" s="6">
        <v>0.5</v>
      </c>
      <c r="F57" s="6">
        <v>0.1</v>
      </c>
      <c r="G57" s="6">
        <v>0.5</v>
      </c>
      <c r="H57" s="6">
        <v>0.65</v>
      </c>
      <c r="I57" s="6">
        <v>0.95</v>
      </c>
      <c r="J57" s="5" t="s">
        <v>332</v>
      </c>
    </row>
    <row r="58" spans="1:18" x14ac:dyDescent="0.25">
      <c r="A58" t="s">
        <v>343</v>
      </c>
      <c r="B58" s="5">
        <v>2.7</v>
      </c>
      <c r="C58" s="5">
        <v>1</v>
      </c>
      <c r="D58" s="5">
        <v>0.9</v>
      </c>
      <c r="E58" s="6">
        <v>0.5</v>
      </c>
      <c r="F58" s="6">
        <v>0.1</v>
      </c>
      <c r="G58" s="6">
        <v>0.5</v>
      </c>
      <c r="H58" s="6">
        <v>0.65</v>
      </c>
      <c r="I58" s="6">
        <v>0.95</v>
      </c>
      <c r="J58" s="5"/>
    </row>
    <row r="59" spans="1:18" x14ac:dyDescent="0.25">
      <c r="A59" t="s">
        <v>344</v>
      </c>
      <c r="B59" s="5">
        <v>2.68</v>
      </c>
      <c r="C59" s="5">
        <v>1</v>
      </c>
      <c r="D59" s="5">
        <v>0.9</v>
      </c>
      <c r="E59" s="6">
        <v>0.5</v>
      </c>
      <c r="F59" s="6">
        <v>0.1</v>
      </c>
      <c r="G59" s="6">
        <v>0.5</v>
      </c>
      <c r="H59" s="6">
        <v>0.65</v>
      </c>
      <c r="I59" s="6">
        <v>0.95</v>
      </c>
      <c r="J59" s="5"/>
    </row>
    <row r="60" spans="1:18" x14ac:dyDescent="0.25">
      <c r="A60" t="s">
        <v>345</v>
      </c>
      <c r="B60" s="5">
        <v>2.04</v>
      </c>
      <c r="C60" s="5">
        <v>1</v>
      </c>
      <c r="D60" s="5">
        <v>0.9</v>
      </c>
      <c r="E60" s="6">
        <v>0.5</v>
      </c>
      <c r="F60" s="6">
        <v>0.1</v>
      </c>
      <c r="G60" s="6">
        <v>0.5</v>
      </c>
      <c r="H60" s="6">
        <v>0.65</v>
      </c>
      <c r="I60" s="6">
        <v>0.95</v>
      </c>
      <c r="J60" s="5" t="s">
        <v>317</v>
      </c>
    </row>
    <row r="61" spans="1:18" x14ac:dyDescent="0.25">
      <c r="A61" t="s">
        <v>346</v>
      </c>
      <c r="B61" s="5">
        <v>2.81</v>
      </c>
      <c r="C61" s="5">
        <v>1</v>
      </c>
      <c r="D61" s="5">
        <v>0.9</v>
      </c>
      <c r="E61" s="6">
        <v>0.5</v>
      </c>
      <c r="F61" s="6">
        <v>0.1</v>
      </c>
      <c r="G61" s="6">
        <v>0.5</v>
      </c>
      <c r="H61" s="6">
        <v>0.65</v>
      </c>
      <c r="I61" s="6">
        <v>0.95</v>
      </c>
      <c r="J61" s="5" t="s">
        <v>253</v>
      </c>
    </row>
    <row r="62" spans="1:18" x14ac:dyDescent="0.25">
      <c r="A62" t="s">
        <v>347</v>
      </c>
      <c r="B62" s="5">
        <v>2.4700000000000002</v>
      </c>
      <c r="C62" s="5">
        <v>1</v>
      </c>
      <c r="D62" s="5">
        <v>0.9</v>
      </c>
      <c r="E62" s="6">
        <v>0.5</v>
      </c>
      <c r="F62" s="6">
        <v>0.1</v>
      </c>
      <c r="G62" s="6">
        <v>0.5</v>
      </c>
      <c r="H62" s="6">
        <v>0.65</v>
      </c>
      <c r="I62" s="6">
        <v>0.95</v>
      </c>
      <c r="J62" s="5"/>
    </row>
    <row r="63" spans="1:18" x14ac:dyDescent="0.25">
      <c r="A63" t="s">
        <v>348</v>
      </c>
      <c r="B63" s="5">
        <v>2.5</v>
      </c>
      <c r="C63" s="5">
        <v>1</v>
      </c>
      <c r="D63" s="5">
        <v>0.9</v>
      </c>
      <c r="E63" s="6">
        <v>0.5</v>
      </c>
      <c r="F63" s="6">
        <v>0.1</v>
      </c>
      <c r="G63" s="6">
        <v>0.5</v>
      </c>
      <c r="H63" s="6">
        <v>0.65</v>
      </c>
      <c r="I63" s="6">
        <v>0.95</v>
      </c>
      <c r="J63" s="5" t="s">
        <v>253</v>
      </c>
    </row>
    <row r="64" spans="1:18" x14ac:dyDescent="0.25">
      <c r="A64" t="s">
        <v>349</v>
      </c>
      <c r="B64" s="5">
        <v>2.4300000000000002</v>
      </c>
      <c r="C64" s="5">
        <v>1</v>
      </c>
      <c r="D64" s="5">
        <v>0.9</v>
      </c>
      <c r="E64" s="6">
        <v>0.5</v>
      </c>
      <c r="F64" s="6">
        <v>0.1</v>
      </c>
      <c r="G64" s="6">
        <v>0.5</v>
      </c>
      <c r="H64" s="6">
        <v>0.65</v>
      </c>
      <c r="I64" s="6">
        <v>0.95</v>
      </c>
      <c r="J64" s="5" t="s">
        <v>350</v>
      </c>
    </row>
    <row r="65" spans="1:23" x14ac:dyDescent="0.25">
      <c r="A65" t="s">
        <v>291</v>
      </c>
      <c r="B65" s="5">
        <v>2.56</v>
      </c>
      <c r="C65" s="5">
        <v>1</v>
      </c>
      <c r="D65" s="5">
        <v>0.9</v>
      </c>
      <c r="E65" s="6">
        <v>0.4</v>
      </c>
      <c r="F65" s="6">
        <v>0.1</v>
      </c>
      <c r="G65" s="6">
        <v>0.5</v>
      </c>
      <c r="H65" s="6">
        <v>0.65</v>
      </c>
      <c r="I65" s="6">
        <v>0.95</v>
      </c>
      <c r="J65" s="5" t="s">
        <v>291</v>
      </c>
    </row>
    <row r="66" spans="1:23" x14ac:dyDescent="0.25">
      <c r="A66" t="s">
        <v>351</v>
      </c>
      <c r="B66" s="5">
        <v>2.42</v>
      </c>
      <c r="C66" s="5">
        <v>1</v>
      </c>
      <c r="D66" s="5">
        <v>0.9</v>
      </c>
      <c r="E66" s="6">
        <v>0.5</v>
      </c>
      <c r="F66" s="6">
        <v>0.1</v>
      </c>
      <c r="G66" s="6">
        <v>0.5</v>
      </c>
      <c r="H66" s="6">
        <v>0.65</v>
      </c>
      <c r="I66" s="6">
        <v>0.95</v>
      </c>
      <c r="J66" s="5"/>
    </row>
    <row r="67" spans="1:23" x14ac:dyDescent="0.25">
      <c r="A67" t="s">
        <v>352</v>
      </c>
      <c r="B67" s="5">
        <v>2.57</v>
      </c>
      <c r="C67" s="5">
        <v>1</v>
      </c>
      <c r="D67" s="5">
        <v>0.9</v>
      </c>
      <c r="E67" s="6">
        <v>0.5</v>
      </c>
      <c r="F67" s="6">
        <v>0.1</v>
      </c>
      <c r="G67" s="6">
        <v>0.5</v>
      </c>
      <c r="H67" s="6">
        <v>0.65</v>
      </c>
      <c r="I67" s="6">
        <v>0.95</v>
      </c>
      <c r="J67" s="5"/>
    </row>
    <row r="76" spans="1:23" x14ac:dyDescent="0.25">
      <c r="A76" s="217" t="s">
        <v>353</v>
      </c>
      <c r="B76" s="217"/>
      <c r="C76" s="217"/>
      <c r="D76" s="217"/>
      <c r="E76" s="217"/>
      <c r="F76" s="217"/>
      <c r="G76" s="217"/>
      <c r="H76" s="217"/>
      <c r="I76" s="217"/>
      <c r="J76" s="217"/>
      <c r="K76" s="217"/>
      <c r="L76" s="217"/>
      <c r="M76" s="217"/>
      <c r="N76" s="217"/>
      <c r="O76" s="217"/>
      <c r="P76" s="217"/>
      <c r="Q76" s="217"/>
      <c r="R76" s="217"/>
      <c r="S76" s="217"/>
      <c r="T76" s="217"/>
      <c r="U76" s="217"/>
      <c r="V76" s="217"/>
      <c r="W76" s="217"/>
    </row>
    <row r="77" spans="1:23" x14ac:dyDescent="0.25">
      <c r="A77" s="217"/>
      <c r="B77" s="217"/>
      <c r="C77" s="217"/>
      <c r="D77" s="217"/>
      <c r="E77" s="217"/>
      <c r="F77" s="217"/>
      <c r="G77" s="217"/>
      <c r="H77" s="217"/>
      <c r="I77" s="217"/>
      <c r="J77" s="217"/>
      <c r="K77" s="217"/>
      <c r="L77" s="217"/>
      <c r="M77" s="217"/>
      <c r="N77" s="217"/>
      <c r="O77" s="217"/>
      <c r="P77" s="217"/>
      <c r="Q77" s="217"/>
      <c r="R77" s="217"/>
      <c r="S77" s="217"/>
      <c r="T77" s="217"/>
      <c r="U77" s="217"/>
      <c r="V77" s="217"/>
      <c r="W77" s="217"/>
    </row>
    <row r="78" spans="1:23" x14ac:dyDescent="0.25">
      <c r="A78" t="s">
        <v>354</v>
      </c>
    </row>
    <row r="79" spans="1:23" ht="15.75" thickBot="1" x14ac:dyDescent="0.3">
      <c r="A79" s="218" t="s">
        <v>355</v>
      </c>
      <c r="B79" s="15" t="s">
        <v>356</v>
      </c>
      <c r="C79" s="15"/>
      <c r="D79" s="15"/>
      <c r="E79" s="16"/>
      <c r="F79" s="16"/>
      <c r="G79" s="16"/>
      <c r="H79" s="16"/>
      <c r="I79" s="16"/>
      <c r="J79" s="16"/>
      <c r="K79" s="16"/>
      <c r="L79" s="17"/>
    </row>
    <row r="80" spans="1:23" ht="15.75" thickBot="1" x14ac:dyDescent="0.3">
      <c r="A80" s="219"/>
      <c r="B80" s="18" t="s">
        <v>357</v>
      </c>
      <c r="C80" s="35"/>
      <c r="D80" s="35"/>
      <c r="E80" s="220" t="s">
        <v>358</v>
      </c>
      <c r="F80" s="221"/>
      <c r="G80" s="221"/>
      <c r="H80" s="221"/>
      <c r="I80" s="221"/>
      <c r="J80" s="222"/>
      <c r="K80" s="19"/>
      <c r="L80" s="20"/>
    </row>
    <row r="81" spans="1:15" ht="24.75" thickBot="1" x14ac:dyDescent="0.3">
      <c r="A81" s="219"/>
      <c r="B81" s="21"/>
      <c r="C81" s="36"/>
      <c r="D81" s="36"/>
      <c r="E81" s="22" t="s">
        <v>359</v>
      </c>
      <c r="F81" s="38"/>
      <c r="G81" s="38"/>
      <c r="H81" s="38"/>
      <c r="I81" s="38"/>
      <c r="J81" s="23" t="s">
        <v>360</v>
      </c>
      <c r="K81" s="19"/>
      <c r="L81" s="24"/>
    </row>
    <row r="82" spans="1:15" ht="15.75" thickBot="1" x14ac:dyDescent="0.3">
      <c r="A82" s="219"/>
      <c r="B82" s="21" t="s">
        <v>361</v>
      </c>
      <c r="C82" s="36"/>
      <c r="D82" s="36"/>
      <c r="E82" s="25">
        <v>0.6</v>
      </c>
      <c r="F82" s="39"/>
      <c r="G82" s="39"/>
      <c r="H82" s="39"/>
      <c r="I82" s="39"/>
      <c r="J82" s="26">
        <v>5</v>
      </c>
      <c r="K82" s="19"/>
      <c r="L82" s="20"/>
    </row>
    <row r="83" spans="1:15" ht="15.75" thickBot="1" x14ac:dyDescent="0.3">
      <c r="A83" s="219"/>
      <c r="B83" s="21" t="s">
        <v>362</v>
      </c>
      <c r="C83" s="36"/>
      <c r="D83" s="36"/>
      <c r="E83" s="25">
        <v>8.6999999999999993</v>
      </c>
      <c r="F83" s="39"/>
      <c r="G83" s="39"/>
      <c r="H83" s="39"/>
      <c r="I83" s="39"/>
      <c r="J83" s="26">
        <v>78</v>
      </c>
      <c r="K83" s="19"/>
      <c r="L83" s="20"/>
    </row>
    <row r="84" spans="1:15" ht="24.75" thickBot="1" x14ac:dyDescent="0.3">
      <c r="A84" s="219"/>
      <c r="B84" s="21" t="s">
        <v>363</v>
      </c>
      <c r="C84" s="36"/>
      <c r="D84" s="36"/>
      <c r="E84" s="25">
        <v>1.9</v>
      </c>
      <c r="F84" s="39"/>
      <c r="G84" s="39"/>
      <c r="H84" s="39"/>
      <c r="I84" s="39"/>
      <c r="J84" s="26">
        <v>17</v>
      </c>
      <c r="K84" s="19"/>
      <c r="L84" s="20"/>
    </row>
    <row r="85" spans="1:15" ht="15.75" thickBot="1" x14ac:dyDescent="0.3">
      <c r="A85" s="219"/>
      <c r="B85" s="27" t="s">
        <v>364</v>
      </c>
      <c r="C85" s="37"/>
      <c r="D85" s="37"/>
      <c r="E85" s="28">
        <v>11.2</v>
      </c>
      <c r="F85" s="40"/>
      <c r="G85" s="40"/>
      <c r="H85" s="40"/>
      <c r="I85" s="40"/>
      <c r="J85" s="29">
        <v>100</v>
      </c>
      <c r="K85" s="19"/>
      <c r="L85" s="20"/>
    </row>
    <row r="86" spans="1:15" x14ac:dyDescent="0.25">
      <c r="A86" t="s">
        <v>365</v>
      </c>
    </row>
    <row r="87" spans="1:15" x14ac:dyDescent="0.25">
      <c r="H87">
        <f>E83+E84</f>
        <v>10.6</v>
      </c>
    </row>
    <row r="88" spans="1:15" ht="25.5" x14ac:dyDescent="0.25">
      <c r="N88" s="30" t="s">
        <v>366</v>
      </c>
      <c r="O88" s="31" t="s">
        <v>367</v>
      </c>
    </row>
    <row r="89" spans="1:15" ht="102" x14ac:dyDescent="0.25">
      <c r="N89" s="30" t="s">
        <v>368</v>
      </c>
      <c r="O89" s="31">
        <v>15</v>
      </c>
    </row>
    <row r="90" spans="1:15" x14ac:dyDescent="0.25">
      <c r="N90" t="s">
        <v>369</v>
      </c>
    </row>
    <row r="105" spans="14:14" x14ac:dyDescent="0.25">
      <c r="N105" t="s">
        <v>370</v>
      </c>
    </row>
  </sheetData>
  <sheetProtection selectLockedCells="1" selectUnlockedCells="1"/>
  <autoFilter ref="A1:J67" xr:uid="{C2CFE9A2-3D12-4B20-873C-1F9E1BC2537D}"/>
  <mergeCells count="3">
    <mergeCell ref="A79:A85"/>
    <mergeCell ref="E80:J80"/>
    <mergeCell ref="A76:W77"/>
  </mergeCells>
  <pageMargins left="0.7" right="0.7" top="0.75" bottom="0.75" header="0.3" footer="0.3"/>
  <pageSetup orientation="portrait" r:id="rId1"/>
  <customProperties>
    <customPr name="LastActive"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6930-10F7-46E4-B01A-AC7CEBEC1A70}">
  <sheetPr>
    <tabColor rgb="FF00B050"/>
  </sheetPr>
  <dimension ref="A1:D18"/>
  <sheetViews>
    <sheetView workbookViewId="0">
      <selection activeCell="E83" sqref="E83"/>
    </sheetView>
  </sheetViews>
  <sheetFormatPr defaultRowHeight="15" x14ac:dyDescent="0.25"/>
  <cols>
    <col min="1" max="1" width="84.7109375" bestFit="1" customWidth="1"/>
    <col min="2" max="2" width="36.7109375" style="34" customWidth="1"/>
    <col min="3" max="3" width="34.140625" style="34" bestFit="1" customWidth="1"/>
    <col min="4" max="4" width="102.7109375" bestFit="1" customWidth="1"/>
  </cols>
  <sheetData>
    <row r="1" spans="1:4" ht="30" x14ac:dyDescent="0.25">
      <c r="A1" s="33" t="s">
        <v>193</v>
      </c>
      <c r="B1" s="33" t="s">
        <v>183</v>
      </c>
      <c r="C1" s="33" t="s">
        <v>373</v>
      </c>
      <c r="D1" s="33" t="s">
        <v>214</v>
      </c>
    </row>
    <row r="2" spans="1:4" x14ac:dyDescent="0.25">
      <c r="A2" s="45" t="s">
        <v>374</v>
      </c>
      <c r="B2" s="87" t="s">
        <v>375</v>
      </c>
      <c r="C2" s="87">
        <v>4</v>
      </c>
      <c r="D2" s="45" t="s">
        <v>376</v>
      </c>
    </row>
    <row r="3" spans="1:4" x14ac:dyDescent="0.25">
      <c r="A3" s="45" t="s">
        <v>377</v>
      </c>
      <c r="B3" s="87" t="s">
        <v>378</v>
      </c>
      <c r="C3" s="87">
        <v>75</v>
      </c>
      <c r="D3" s="45"/>
    </row>
    <row r="4" spans="1:4" x14ac:dyDescent="0.25">
      <c r="A4" s="45" t="s">
        <v>379</v>
      </c>
      <c r="B4" s="87" t="s">
        <v>380</v>
      </c>
      <c r="C4" s="87">
        <f>250+(3*15)</f>
        <v>295</v>
      </c>
      <c r="D4" s="45" t="s">
        <v>381</v>
      </c>
    </row>
    <row r="5" spans="1:4" x14ac:dyDescent="0.25">
      <c r="A5" s="45" t="s">
        <v>382</v>
      </c>
      <c r="B5" s="87" t="s">
        <v>383</v>
      </c>
      <c r="C5" s="87">
        <v>20</v>
      </c>
      <c r="D5" s="45" t="s">
        <v>384</v>
      </c>
    </row>
    <row r="6" spans="1:4" x14ac:dyDescent="0.25">
      <c r="A6" s="45" t="s">
        <v>385</v>
      </c>
      <c r="B6" s="87" t="s">
        <v>386</v>
      </c>
      <c r="C6" s="87">
        <v>50</v>
      </c>
      <c r="D6" s="45" t="s">
        <v>387</v>
      </c>
    </row>
    <row r="7" spans="1:4" x14ac:dyDescent="0.25">
      <c r="A7" s="45" t="s">
        <v>388</v>
      </c>
      <c r="B7" s="87" t="s">
        <v>386</v>
      </c>
      <c r="C7" s="87">
        <v>20</v>
      </c>
      <c r="D7" s="45"/>
    </row>
    <row r="8" spans="1:4" x14ac:dyDescent="0.25">
      <c r="A8" s="45" t="s">
        <v>389</v>
      </c>
      <c r="B8" s="87" t="s">
        <v>390</v>
      </c>
      <c r="C8" s="87">
        <v>150</v>
      </c>
      <c r="D8" s="45" t="s">
        <v>391</v>
      </c>
    </row>
    <row r="9" spans="1:4" x14ac:dyDescent="0.25">
      <c r="A9" s="45" t="s">
        <v>392</v>
      </c>
      <c r="B9" s="87" t="s">
        <v>393</v>
      </c>
      <c r="C9" s="87">
        <f>15/100</f>
        <v>0.15</v>
      </c>
      <c r="D9" s="45"/>
    </row>
    <row r="10" spans="1:4" x14ac:dyDescent="0.25">
      <c r="A10" s="45" t="s">
        <v>394</v>
      </c>
      <c r="B10" s="87" t="s">
        <v>395</v>
      </c>
      <c r="C10" s="87">
        <f>AVERAGE(50,75)</f>
        <v>62.5</v>
      </c>
      <c r="D10" s="45" t="s">
        <v>396</v>
      </c>
    </row>
    <row r="11" spans="1:4" x14ac:dyDescent="0.25">
      <c r="A11" s="45" t="s">
        <v>397</v>
      </c>
      <c r="B11" s="87" t="s">
        <v>398</v>
      </c>
      <c r="C11" s="87">
        <f>AVERAGE(250,325)</f>
        <v>287.5</v>
      </c>
      <c r="D11" s="45" t="s">
        <v>399</v>
      </c>
    </row>
    <row r="12" spans="1:4" x14ac:dyDescent="0.25">
      <c r="A12" s="45" t="s">
        <v>400</v>
      </c>
      <c r="B12" s="87" t="s">
        <v>386</v>
      </c>
      <c r="C12" s="87">
        <v>4</v>
      </c>
      <c r="D12" s="45"/>
    </row>
    <row r="13" spans="1:4" ht="30" x14ac:dyDescent="0.25">
      <c r="A13" s="45" t="s">
        <v>401</v>
      </c>
      <c r="B13" s="87" t="s">
        <v>380</v>
      </c>
      <c r="C13" s="87">
        <f>250+(7*20)+(3*15)</f>
        <v>435</v>
      </c>
      <c r="D13" s="45" t="s">
        <v>402</v>
      </c>
    </row>
    <row r="14" spans="1:4" ht="30" x14ac:dyDescent="0.25">
      <c r="A14" s="45" t="s">
        <v>403</v>
      </c>
      <c r="B14" s="87" t="s">
        <v>404</v>
      </c>
      <c r="C14" s="87">
        <v>100</v>
      </c>
      <c r="D14" s="45" t="s">
        <v>405</v>
      </c>
    </row>
    <row r="15" spans="1:4" x14ac:dyDescent="0.25">
      <c r="A15" s="45" t="s">
        <v>406</v>
      </c>
      <c r="B15" s="87" t="s">
        <v>386</v>
      </c>
      <c r="C15" s="87">
        <v>3</v>
      </c>
      <c r="D15" s="45"/>
    </row>
    <row r="16" spans="1:4" x14ac:dyDescent="0.25">
      <c r="A16" s="45" t="s">
        <v>407</v>
      </c>
      <c r="B16" s="87" t="s">
        <v>408</v>
      </c>
      <c r="C16" s="87">
        <f>200+(1.5*5)</f>
        <v>207.5</v>
      </c>
      <c r="D16" s="45" t="s">
        <v>409</v>
      </c>
    </row>
    <row r="17" spans="1:4" x14ac:dyDescent="0.25">
      <c r="A17" s="45" t="s">
        <v>410</v>
      </c>
      <c r="B17" s="87" t="s">
        <v>408</v>
      </c>
      <c r="C17" s="87">
        <f>100+(3*5)</f>
        <v>115</v>
      </c>
      <c r="D17" s="45" t="s">
        <v>411</v>
      </c>
    </row>
    <row r="18" spans="1:4" x14ac:dyDescent="0.25">
      <c r="A18" s="45" t="s">
        <v>412</v>
      </c>
      <c r="B18" s="87" t="s">
        <v>413</v>
      </c>
      <c r="C18" s="87">
        <f>10+4+26</f>
        <v>40</v>
      </c>
      <c r="D18" s="45" t="s">
        <v>414</v>
      </c>
    </row>
  </sheetData>
  <pageMargins left="0.7" right="0.7" top="0.75" bottom="0.75" header="0.3" footer="0.3"/>
  <customProperties>
    <customPr name="LastActive"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8A05-2D36-44B4-99B5-FF2754F757DA}">
  <sheetPr>
    <tabColor rgb="FF00B050"/>
  </sheetPr>
  <dimension ref="A1:F40"/>
  <sheetViews>
    <sheetView showGridLines="0" zoomScale="130" zoomScaleNormal="130" workbookViewId="0">
      <selection activeCell="A21" sqref="A21:F21"/>
    </sheetView>
  </sheetViews>
  <sheetFormatPr defaultColWidth="9.140625" defaultRowHeight="15" x14ac:dyDescent="0.25"/>
  <cols>
    <col min="1" max="1" width="30.42578125" customWidth="1"/>
    <col min="2" max="2" width="28" customWidth="1"/>
    <col min="3" max="3" width="22.7109375" customWidth="1"/>
    <col min="4" max="4" width="16.28515625" customWidth="1"/>
    <col min="5" max="5" width="22.28515625" customWidth="1"/>
    <col min="6" max="6" width="51.85546875" customWidth="1"/>
  </cols>
  <sheetData>
    <row r="1" spans="1:4" x14ac:dyDescent="0.25">
      <c r="A1" s="176" t="s">
        <v>116</v>
      </c>
      <c r="B1" s="177"/>
      <c r="C1" s="177"/>
      <c r="D1" s="177"/>
    </row>
    <row r="4" spans="1:4" x14ac:dyDescent="0.25">
      <c r="A4" s="159" t="s">
        <v>117</v>
      </c>
      <c r="B4" s="159"/>
    </row>
    <row r="5" spans="1:4" x14ac:dyDescent="0.25">
      <c r="A5" s="160" t="s">
        <v>118</v>
      </c>
      <c r="B5" s="160"/>
    </row>
    <row r="7" spans="1:4" s="3" customFormat="1" x14ac:dyDescent="0.25">
      <c r="A7" s="49" t="s">
        <v>119</v>
      </c>
    </row>
    <row r="8" spans="1:4" s="3" customFormat="1" x14ac:dyDescent="0.25"/>
    <row r="9" spans="1:4" ht="39" x14ac:dyDescent="0.25">
      <c r="A9" s="188" t="s">
        <v>120</v>
      </c>
      <c r="B9" s="188" t="s">
        <v>121</v>
      </c>
      <c r="C9" s="188" t="s">
        <v>122</v>
      </c>
      <c r="D9" s="188" t="s">
        <v>123</v>
      </c>
    </row>
    <row r="10" spans="1:4" x14ac:dyDescent="0.25">
      <c r="A10" s="161" t="s">
        <v>124</v>
      </c>
      <c r="B10" s="151" t="str">
        <f>VLOOKUP(A10,ReferenceLists2025!$A$1:$B$67,2,FALSE)</f>
        <v># of Persons Per Household (2020 Census)</v>
      </c>
      <c r="C10" s="151">
        <v>10</v>
      </c>
      <c r="D10" s="162" t="str">
        <f>VLOOKUP(A10,ReferenceLists2025!A1:E67,5,FALSE)</f>
        <v>Medium Recharge Rate</v>
      </c>
    </row>
    <row r="11" spans="1:4" x14ac:dyDescent="0.25">
      <c r="A11" s="3"/>
    </row>
    <row r="12" spans="1:4" x14ac:dyDescent="0.25">
      <c r="A12" s="201" t="s">
        <v>125</v>
      </c>
      <c r="B12" s="201"/>
      <c r="C12" s="201"/>
    </row>
    <row r="13" spans="1:4" ht="15" customHeight="1" x14ac:dyDescent="0.25">
      <c r="A13" s="202" t="s">
        <v>126</v>
      </c>
      <c r="B13" s="202" t="s">
        <v>127</v>
      </c>
      <c r="C13" s="203" t="s">
        <v>128</v>
      </c>
      <c r="D13" s="203"/>
    </row>
    <row r="14" spans="1:4" ht="33" customHeight="1" x14ac:dyDescent="0.25">
      <c r="A14" s="202"/>
      <c r="B14" s="202"/>
      <c r="C14" s="188" t="s">
        <v>129</v>
      </c>
      <c r="D14" s="188" t="s">
        <v>130</v>
      </c>
    </row>
    <row r="15" spans="1:4" x14ac:dyDescent="0.25">
      <c r="A15" s="163" t="s">
        <v>131</v>
      </c>
      <c r="B15" s="153" t="e">
        <f>C10*B10</f>
        <v>#VALUE!</v>
      </c>
      <c r="C15" s="164"/>
      <c r="D15" s="164"/>
    </row>
    <row r="16" spans="1:4" x14ac:dyDescent="0.25">
      <c r="A16" s="165" t="s">
        <v>132</v>
      </c>
      <c r="B16" s="154" t="e">
        <f>B15*0.7</f>
        <v>#VALUE!</v>
      </c>
      <c r="C16" s="166"/>
      <c r="D16" s="166"/>
    </row>
    <row r="17" spans="1:6" x14ac:dyDescent="0.25">
      <c r="A17" s="165" t="s">
        <v>133</v>
      </c>
      <c r="B17" s="154" t="e">
        <f>B16*0.1</f>
        <v>#VALUE!</v>
      </c>
      <c r="C17" s="155" t="e">
        <f>B17*0.5</f>
        <v>#VALUE!</v>
      </c>
      <c r="D17" s="155" t="e">
        <f>B17*0.95</f>
        <v>#VALUE!</v>
      </c>
    </row>
    <row r="18" spans="1:6" x14ac:dyDescent="0.25">
      <c r="A18" s="165" t="s">
        <v>134</v>
      </c>
      <c r="B18" s="154" t="e">
        <f>B16*D10</f>
        <v>#VALUE!</v>
      </c>
      <c r="C18" s="155" t="e">
        <f t="shared" ref="C18:C19" si="0">B18*0.5</f>
        <v>#VALUE!</v>
      </c>
      <c r="D18" s="155" t="e">
        <f>B18*0.95</f>
        <v>#VALUE!</v>
      </c>
    </row>
    <row r="19" spans="1:6" x14ac:dyDescent="0.25">
      <c r="A19" s="165" t="s">
        <v>135</v>
      </c>
      <c r="B19" s="154" t="e">
        <f>B16*0.9</f>
        <v>#VALUE!</v>
      </c>
      <c r="C19" s="155" t="e">
        <f t="shared" si="0"/>
        <v>#VALUE!</v>
      </c>
      <c r="D19" s="155" t="e">
        <f>B19*0.95</f>
        <v>#VALUE!</v>
      </c>
    </row>
    <row r="20" spans="1:6" ht="26.25" customHeight="1" x14ac:dyDescent="0.25">
      <c r="A20" s="167"/>
      <c r="B20" s="168"/>
      <c r="C20" s="169"/>
      <c r="D20" s="169"/>
    </row>
    <row r="21" spans="1:6" x14ac:dyDescent="0.25">
      <c r="A21" s="206" t="s">
        <v>417</v>
      </c>
      <c r="B21" s="206"/>
      <c r="C21" s="206"/>
      <c r="D21" s="206"/>
      <c r="E21" s="206"/>
      <c r="F21" s="206"/>
    </row>
    <row r="22" spans="1:6" x14ac:dyDescent="0.25">
      <c r="A22" s="170"/>
      <c r="B22" s="170"/>
      <c r="C22" s="170"/>
      <c r="D22" s="170"/>
      <c r="E22" s="170"/>
      <c r="F22" s="170"/>
    </row>
    <row r="23" spans="1:6" x14ac:dyDescent="0.25">
      <c r="A23" s="204" t="s">
        <v>136</v>
      </c>
      <c r="B23" s="204"/>
      <c r="C23" s="204"/>
      <c r="D23" s="204"/>
      <c r="E23" s="192"/>
      <c r="F23" s="192"/>
    </row>
    <row r="24" spans="1:6" x14ac:dyDescent="0.25">
      <c r="A24" s="202" t="s">
        <v>137</v>
      </c>
      <c r="B24" s="205" t="s">
        <v>415</v>
      </c>
      <c r="C24" s="205"/>
    </row>
    <row r="25" spans="1:6" ht="39" x14ac:dyDescent="0.25">
      <c r="A25" s="202"/>
      <c r="B25" s="188" t="s">
        <v>138</v>
      </c>
      <c r="C25" s="188" t="s">
        <v>139</v>
      </c>
    </row>
    <row r="26" spans="1:6" x14ac:dyDescent="0.25">
      <c r="A26" s="163" t="s">
        <v>140</v>
      </c>
      <c r="B26" s="171">
        <v>0</v>
      </c>
      <c r="C26" s="172" t="e">
        <f>B26*C19</f>
        <v>#VALUE!</v>
      </c>
    </row>
    <row r="27" spans="1:6" x14ac:dyDescent="0.25">
      <c r="A27" s="163" t="s">
        <v>141</v>
      </c>
      <c r="B27" s="171">
        <v>0</v>
      </c>
      <c r="C27" s="173" t="e">
        <f>B27*C18</f>
        <v>#VALUE!</v>
      </c>
    </row>
    <row r="28" spans="1:6" x14ac:dyDescent="0.25">
      <c r="A28" s="163" t="s">
        <v>142</v>
      </c>
      <c r="B28" s="171">
        <v>0</v>
      </c>
      <c r="C28" s="173" t="e">
        <f>B28*C17</f>
        <v>#VALUE!</v>
      </c>
    </row>
    <row r="29" spans="1:6" x14ac:dyDescent="0.25">
      <c r="A29" s="174" t="s">
        <v>143</v>
      </c>
      <c r="B29" s="158">
        <f>SUM(B26:B28)</f>
        <v>0</v>
      </c>
      <c r="C29" s="158" t="e">
        <f>SUM(C26:C28)</f>
        <v>#VALUE!</v>
      </c>
      <c r="D29" s="175"/>
    </row>
    <row r="32" spans="1:6" x14ac:dyDescent="0.25">
      <c r="A32" s="201" t="s">
        <v>144</v>
      </c>
      <c r="B32" s="201"/>
      <c r="C32" s="201"/>
      <c r="D32" s="204"/>
    </row>
    <row r="33" spans="1:6" x14ac:dyDescent="0.25">
      <c r="A33" s="202" t="s">
        <v>145</v>
      </c>
      <c r="B33" s="205" t="s">
        <v>130</v>
      </c>
      <c r="C33" s="205"/>
    </row>
    <row r="34" spans="1:6" ht="64.5" x14ac:dyDescent="0.25">
      <c r="A34" s="202"/>
      <c r="B34" s="188" t="s">
        <v>146</v>
      </c>
      <c r="C34" s="188" t="s">
        <v>147</v>
      </c>
    </row>
    <row r="35" spans="1:6" x14ac:dyDescent="0.25">
      <c r="A35" s="163" t="s">
        <v>140</v>
      </c>
      <c r="B35" s="171">
        <v>0</v>
      </c>
      <c r="C35" s="172" t="e">
        <f>B35*D19</f>
        <v>#VALUE!</v>
      </c>
    </row>
    <row r="36" spans="1:6" x14ac:dyDescent="0.25">
      <c r="A36" s="163" t="s">
        <v>141</v>
      </c>
      <c r="B36" s="171">
        <v>0</v>
      </c>
      <c r="C36" s="173" t="e">
        <f>B36*D18</f>
        <v>#VALUE!</v>
      </c>
    </row>
    <row r="37" spans="1:6" x14ac:dyDescent="0.25">
      <c r="A37" s="163" t="s">
        <v>142</v>
      </c>
      <c r="B37" s="171">
        <v>0</v>
      </c>
      <c r="C37" s="173" t="e">
        <f>B37*D17</f>
        <v>#VALUE!</v>
      </c>
    </row>
    <row r="38" spans="1:6" x14ac:dyDescent="0.25">
      <c r="A38" s="174" t="s">
        <v>143</v>
      </c>
      <c r="B38" s="158">
        <f t="shared" ref="B38:C38" si="1">SUM(B35:B37)</f>
        <v>0</v>
      </c>
      <c r="C38" s="158" t="e">
        <f t="shared" si="1"/>
        <v>#VALUE!</v>
      </c>
    </row>
    <row r="40" spans="1:6" x14ac:dyDescent="0.25">
      <c r="F40" s="175"/>
    </row>
  </sheetData>
  <sheetProtection algorithmName="SHA-512" hashValue="sd+CZF9mjuzw2UZgCI0wgTimoI7Dig4bE6PGBHCOeCPn+xuU8yFnI++FBCc1zn2Jtr8KB9MKMtdvvRapiu2gFA==" saltValue="pqArFo1U6P/F1pQ6jNFehw==" spinCount="100000" sheet="1" objects="1"/>
  <protectedRanges>
    <protectedRange sqref="A10" name="County"/>
    <protectedRange sqref="B26:B28 B35:B37" name="Numbers OSTDS"/>
  </protectedRanges>
  <mergeCells count="11">
    <mergeCell ref="A33:A34"/>
    <mergeCell ref="B33:C33"/>
    <mergeCell ref="A21:F21"/>
    <mergeCell ref="A23:D23"/>
    <mergeCell ref="A24:A25"/>
    <mergeCell ref="B24:C24"/>
    <mergeCell ref="A12:C12"/>
    <mergeCell ref="A13:A14"/>
    <mergeCell ref="B13:B14"/>
    <mergeCell ref="C13:D13"/>
    <mergeCell ref="A32:D32"/>
  </mergeCells>
  <hyperlinks>
    <hyperlink ref="A21:F21" r:id="rId1" display="Recharge areas GIS files can be downloaded here:  https://floridadep.gov/dear/water-quality-restoration/documents/full-recharge-2025-shapefile" xr:uid="{BCC8A32A-F250-4D4D-B16B-F6244D7AD6BA}"/>
  </hyperlinks>
  <pageMargins left="0.7" right="0.7" top="0.75" bottom="0.75" header="0.3" footer="0.3"/>
  <customProperties>
    <customPr name="LastActive"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AFEDFE2E-B641-4DD0-BA67-DD6D476D0E95}">
          <x14:formula1>
            <xm:f>ReferenceLists2025!$A$1:$A$67</xm:f>
          </x14:formula1>
          <xm:sqref>A10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54686-FB55-4CEE-93D1-A99CBC3CF72B}">
  <sheetPr codeName="Sheet3">
    <tabColor rgb="FF00B050"/>
  </sheetPr>
  <dimension ref="A1:F37"/>
  <sheetViews>
    <sheetView showGridLines="0" workbookViewId="0">
      <selection activeCell="A20" sqref="A20:F20"/>
    </sheetView>
  </sheetViews>
  <sheetFormatPr defaultColWidth="9.140625" defaultRowHeight="15" x14ac:dyDescent="0.25"/>
  <cols>
    <col min="1" max="1" width="30.42578125" style="116" customWidth="1"/>
    <col min="2" max="2" width="28" style="116" customWidth="1"/>
    <col min="3" max="3" width="22.7109375" style="116" customWidth="1"/>
    <col min="4" max="4" width="20.140625" style="116" customWidth="1"/>
    <col min="5" max="5" width="22.28515625" style="116" customWidth="1"/>
    <col min="6" max="6" width="51.85546875" style="116" customWidth="1"/>
    <col min="7" max="16384" width="9.140625" style="116"/>
  </cols>
  <sheetData>
    <row r="1" spans="1:4" x14ac:dyDescent="0.25">
      <c r="A1" s="176" t="s">
        <v>148</v>
      </c>
    </row>
    <row r="3" spans="1:4" x14ac:dyDescent="0.25">
      <c r="A3" s="114" t="s">
        <v>117</v>
      </c>
      <c r="B3" s="114"/>
    </row>
    <row r="4" spans="1:4" x14ac:dyDescent="0.25">
      <c r="A4" s="117" t="s">
        <v>118</v>
      </c>
      <c r="B4" s="117"/>
    </row>
    <row r="6" spans="1:4" s="118" customFormat="1" x14ac:dyDescent="0.25">
      <c r="A6" s="121" t="s">
        <v>119</v>
      </c>
    </row>
    <row r="7" spans="1:4" s="118" customFormat="1" x14ac:dyDescent="0.25"/>
    <row r="8" spans="1:4" ht="39" x14ac:dyDescent="0.25">
      <c r="A8" s="189" t="s">
        <v>120</v>
      </c>
      <c r="B8" s="189" t="s">
        <v>121</v>
      </c>
      <c r="C8" s="189" t="s">
        <v>122</v>
      </c>
      <c r="D8" s="189" t="s">
        <v>149</v>
      </c>
    </row>
    <row r="9" spans="1:4" x14ac:dyDescent="0.25">
      <c r="A9" s="140" t="s">
        <v>124</v>
      </c>
      <c r="B9" s="151" t="str">
        <f>VLOOKUP(A9,ReferenceLists!$A$1:$J$67,2,FALSE)</f>
        <v># of Persons Per Household (2014-2018 Average)</v>
      </c>
      <c r="C9" s="151">
        <v>9.0120000000000005</v>
      </c>
      <c r="D9" s="152" t="str">
        <f>VLOOKUP(A9,ReferenceLists!A1:J67,5,FALSE)</f>
        <v>Medium Recharge Rate</v>
      </c>
    </row>
    <row r="10" spans="1:4" x14ac:dyDescent="0.25">
      <c r="A10" s="118"/>
    </row>
    <row r="11" spans="1:4" x14ac:dyDescent="0.25">
      <c r="A11" s="207" t="s">
        <v>125</v>
      </c>
      <c r="B11" s="207"/>
      <c r="C11" s="207"/>
    </row>
    <row r="12" spans="1:4" ht="15" customHeight="1" x14ac:dyDescent="0.25">
      <c r="A12" s="209" t="s">
        <v>126</v>
      </c>
      <c r="B12" s="209" t="s">
        <v>127</v>
      </c>
      <c r="C12" s="211" t="s">
        <v>128</v>
      </c>
      <c r="D12" s="211"/>
    </row>
    <row r="13" spans="1:4" ht="33" customHeight="1" x14ac:dyDescent="0.25">
      <c r="A13" s="209"/>
      <c r="B13" s="209"/>
      <c r="C13" s="189" t="s">
        <v>129</v>
      </c>
      <c r="D13" s="189" t="s">
        <v>130</v>
      </c>
    </row>
    <row r="14" spans="1:4" x14ac:dyDescent="0.25">
      <c r="A14" s="141" t="s">
        <v>131</v>
      </c>
      <c r="B14" s="153" t="e">
        <f>C9*B9</f>
        <v>#VALUE!</v>
      </c>
      <c r="C14" s="142"/>
      <c r="D14" s="142"/>
    </row>
    <row r="15" spans="1:4" x14ac:dyDescent="0.25">
      <c r="A15" s="143" t="s">
        <v>132</v>
      </c>
      <c r="B15" s="154" t="e">
        <f>B14*0.5</f>
        <v>#VALUE!</v>
      </c>
      <c r="C15" s="144"/>
      <c r="D15" s="144"/>
    </row>
    <row r="16" spans="1:4" x14ac:dyDescent="0.25">
      <c r="A16" s="143" t="s">
        <v>133</v>
      </c>
      <c r="B16" s="154" t="e">
        <f>B15*0.1</f>
        <v>#VALUE!</v>
      </c>
      <c r="C16" s="155" t="e">
        <f>B16*0.65</f>
        <v>#VALUE!</v>
      </c>
      <c r="D16" s="155" t="e">
        <f>B16*0.95</f>
        <v>#VALUE!</v>
      </c>
    </row>
    <row r="17" spans="1:6" x14ac:dyDescent="0.25">
      <c r="A17" s="143" t="s">
        <v>134</v>
      </c>
      <c r="B17" s="154" t="e">
        <f>B15*D9</f>
        <v>#VALUE!</v>
      </c>
      <c r="C17" s="155" t="e">
        <f>B17*0.65</f>
        <v>#VALUE!</v>
      </c>
      <c r="D17" s="155" t="e">
        <f>B17*0.95</f>
        <v>#VALUE!</v>
      </c>
    </row>
    <row r="18" spans="1:6" x14ac:dyDescent="0.25">
      <c r="A18" s="143" t="s">
        <v>135</v>
      </c>
      <c r="B18" s="154" t="e">
        <f>B15*0.9</f>
        <v>#VALUE!</v>
      </c>
      <c r="C18" s="155" t="e">
        <f>B18*0.65</f>
        <v>#VALUE!</v>
      </c>
      <c r="D18" s="155" t="e">
        <f>B18*0.95</f>
        <v>#VALUE!</v>
      </c>
    </row>
    <row r="19" spans="1:6" ht="26.25" customHeight="1" x14ac:dyDescent="0.25">
      <c r="A19" s="145"/>
      <c r="B19" s="146"/>
      <c r="C19" s="147"/>
      <c r="D19" s="147"/>
    </row>
    <row r="20" spans="1:6" x14ac:dyDescent="0.25">
      <c r="A20" s="212" t="s">
        <v>417</v>
      </c>
      <c r="B20" s="212"/>
      <c r="C20" s="212"/>
      <c r="D20" s="212"/>
      <c r="E20" s="212"/>
      <c r="F20" s="212"/>
    </row>
    <row r="21" spans="1:6" x14ac:dyDescent="0.25">
      <c r="A21" s="148"/>
      <c r="B21" s="148"/>
      <c r="C21" s="148"/>
      <c r="D21" s="148"/>
      <c r="E21" s="148"/>
      <c r="F21" s="148"/>
    </row>
    <row r="22" spans="1:6" x14ac:dyDescent="0.25">
      <c r="A22" s="208" t="s">
        <v>136</v>
      </c>
      <c r="B22" s="208"/>
      <c r="C22" s="208"/>
      <c r="D22" s="208"/>
      <c r="E22" s="193"/>
      <c r="F22" s="193"/>
    </row>
    <row r="23" spans="1:6" x14ac:dyDescent="0.25">
      <c r="A23" s="209" t="s">
        <v>137</v>
      </c>
      <c r="B23" s="210" t="s">
        <v>415</v>
      </c>
      <c r="C23" s="210"/>
    </row>
    <row r="24" spans="1:6" ht="39" x14ac:dyDescent="0.25">
      <c r="A24" s="209"/>
      <c r="B24" s="189" t="s">
        <v>138</v>
      </c>
      <c r="C24" s="189" t="s">
        <v>139</v>
      </c>
    </row>
    <row r="25" spans="1:6" x14ac:dyDescent="0.25">
      <c r="A25" s="141" t="s">
        <v>140</v>
      </c>
      <c r="B25" s="149">
        <v>0</v>
      </c>
      <c r="C25" s="156" t="e">
        <f>B25*C18</f>
        <v>#VALUE!</v>
      </c>
    </row>
    <row r="26" spans="1:6" x14ac:dyDescent="0.25">
      <c r="A26" s="141" t="s">
        <v>141</v>
      </c>
      <c r="B26" s="149">
        <v>0</v>
      </c>
      <c r="C26" s="157" t="e">
        <f>B26*C17</f>
        <v>#VALUE!</v>
      </c>
    </row>
    <row r="27" spans="1:6" x14ac:dyDescent="0.25">
      <c r="A27" s="141" t="s">
        <v>142</v>
      </c>
      <c r="B27" s="149">
        <v>0</v>
      </c>
      <c r="C27" s="157" t="e">
        <f>B27*C16</f>
        <v>#VALUE!</v>
      </c>
    </row>
    <row r="28" spans="1:6" x14ac:dyDescent="0.25">
      <c r="A28" s="150" t="s">
        <v>143</v>
      </c>
      <c r="B28" s="158">
        <f>SUM(B25:B27)</f>
        <v>0</v>
      </c>
      <c r="C28" s="158" t="e">
        <f>SUM(C25:C27)</f>
        <v>#VALUE!</v>
      </c>
    </row>
    <row r="31" spans="1:6" x14ac:dyDescent="0.25">
      <c r="A31" s="207" t="s">
        <v>144</v>
      </c>
      <c r="B31" s="207"/>
      <c r="C31" s="207"/>
      <c r="D31" s="208"/>
    </row>
    <row r="32" spans="1:6" x14ac:dyDescent="0.25">
      <c r="A32" s="209" t="s">
        <v>145</v>
      </c>
      <c r="B32" s="210" t="s">
        <v>130</v>
      </c>
      <c r="C32" s="210"/>
    </row>
    <row r="33" spans="1:3" ht="64.5" x14ac:dyDescent="0.25">
      <c r="A33" s="209"/>
      <c r="B33" s="189" t="s">
        <v>146</v>
      </c>
      <c r="C33" s="189" t="s">
        <v>147</v>
      </c>
    </row>
    <row r="34" spans="1:3" x14ac:dyDescent="0.25">
      <c r="A34" s="141" t="s">
        <v>140</v>
      </c>
      <c r="B34" s="149">
        <v>0</v>
      </c>
      <c r="C34" s="156" t="e">
        <f>B34*D18</f>
        <v>#VALUE!</v>
      </c>
    </row>
    <row r="35" spans="1:3" x14ac:dyDescent="0.25">
      <c r="A35" s="141" t="s">
        <v>141</v>
      </c>
      <c r="B35" s="149">
        <v>0</v>
      </c>
      <c r="C35" s="157" t="e">
        <f>B35*D17</f>
        <v>#VALUE!</v>
      </c>
    </row>
    <row r="36" spans="1:3" x14ac:dyDescent="0.25">
      <c r="A36" s="141" t="s">
        <v>142</v>
      </c>
      <c r="B36" s="149">
        <v>0</v>
      </c>
      <c r="C36" s="157" t="e">
        <f>B36*D16</f>
        <v>#VALUE!</v>
      </c>
    </row>
    <row r="37" spans="1:3" x14ac:dyDescent="0.25">
      <c r="A37" s="150" t="s">
        <v>143</v>
      </c>
      <c r="B37" s="158">
        <f t="shared" ref="B37:C37" si="0">SUM(B34:B36)</f>
        <v>0</v>
      </c>
      <c r="C37" s="158" t="e">
        <f t="shared" si="0"/>
        <v>#VALUE!</v>
      </c>
    </row>
  </sheetData>
  <sheetProtection algorithmName="SHA-512" hashValue="1TuNGkFz/MZCOM+roIjG9g9Z16rjQ575qpLYZsPkB/jtZt4aWdUNQV1DD7MeoMv7RZHLzjUJAdCmMUtcZvHXgw==" saltValue="1rbpX8ehHDBEgXf7gQSHMQ==" spinCount="100000" sheet="1" objects="1" scenarios="1" selectLockedCells="1"/>
  <protectedRanges>
    <protectedRange algorithmName="SHA-512" hashValue="NlYQwQa5bgZjyPeS8unBnL0dvGzCgNP3yg3ig9N78IIAgsH41TutX+3YBrLQjuwfHv+3dPZhSzTfOsGobts7ow==" saltValue="//LtNTwSkxZyzXIijHc/cw==" spinCount="100000" sqref="B9:D9 C25:C27 C34:C36 A12:D18" name="Range3"/>
    <protectedRange sqref="A9" name="County"/>
    <protectedRange sqref="B25:B27 B34:B36" name="Numbers OSTDS"/>
  </protectedRanges>
  <mergeCells count="11">
    <mergeCell ref="A31:D31"/>
    <mergeCell ref="A32:A33"/>
    <mergeCell ref="B32:C32"/>
    <mergeCell ref="A11:C11"/>
    <mergeCell ref="A12:A13"/>
    <mergeCell ref="B12:B13"/>
    <mergeCell ref="C12:D12"/>
    <mergeCell ref="A22:D22"/>
    <mergeCell ref="A23:A24"/>
    <mergeCell ref="B23:C23"/>
    <mergeCell ref="A20:F20"/>
  </mergeCells>
  <hyperlinks>
    <hyperlink ref="A20:F20" r:id="rId1" display="Recharge areas GIS files can be downloaded here:  https://floridadep.gov/dear/water-quality-restoration/documents/full-recharge-2025-shapefile" xr:uid="{B22F1202-1C49-4F13-9A88-8FF102099219}"/>
  </hyperlinks>
  <pageMargins left="0.7" right="0.7" top="0.75" bottom="0.75" header="0.3" footer="0.3"/>
  <customProperties>
    <customPr name="LastActive"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DAC5309-CCA3-43CA-A8F3-D044A9AFFDAD}">
          <x14:formula1>
            <xm:f>ReferenceLists!$A$1:$A$67</xm:f>
          </x14:formula1>
          <xm:sqref>A9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4C4B-FC39-4729-B5CA-5E40C702B638}">
  <sheetPr>
    <tabColor rgb="FF00B050"/>
  </sheetPr>
  <dimension ref="A1:M29"/>
  <sheetViews>
    <sheetView showGridLines="0" workbookViewId="0">
      <selection activeCell="A15" sqref="A15:F15"/>
    </sheetView>
  </sheetViews>
  <sheetFormatPr defaultColWidth="9.140625" defaultRowHeight="15" x14ac:dyDescent="0.25"/>
  <cols>
    <col min="1" max="1" width="55.5703125" customWidth="1"/>
    <col min="2" max="2" width="36.140625" customWidth="1"/>
    <col min="3" max="3" width="18.5703125" customWidth="1"/>
    <col min="4" max="4" width="24.42578125" customWidth="1"/>
    <col min="5" max="5" width="21.42578125" customWidth="1"/>
    <col min="6" max="6" width="17.42578125" customWidth="1"/>
    <col min="7" max="7" width="18.5703125" customWidth="1"/>
    <col min="8" max="8" width="20.5703125" customWidth="1"/>
    <col min="9" max="9" width="18.7109375" customWidth="1"/>
    <col min="10" max="10" width="16.7109375" customWidth="1"/>
    <col min="11" max="11" width="17.7109375" customWidth="1"/>
    <col min="12" max="12" width="18" customWidth="1"/>
    <col min="13" max="13" width="20.85546875" customWidth="1"/>
  </cols>
  <sheetData>
    <row r="1" spans="1:12" x14ac:dyDescent="0.25">
      <c r="A1" s="176" t="s">
        <v>116</v>
      </c>
    </row>
    <row r="3" spans="1:12" x14ac:dyDescent="0.25">
      <c r="A3" s="159" t="s">
        <v>150</v>
      </c>
      <c r="B3" s="180"/>
    </row>
    <row r="4" spans="1:12" x14ac:dyDescent="0.25">
      <c r="A4" s="160" t="s">
        <v>118</v>
      </c>
      <c r="B4" s="180"/>
    </row>
    <row r="6" spans="1:12" x14ac:dyDescent="0.25">
      <c r="A6" s="3" t="s">
        <v>151</v>
      </c>
    </row>
    <row r="7" spans="1:12" x14ac:dyDescent="0.25">
      <c r="A7" s="181" t="s">
        <v>152</v>
      </c>
    </row>
    <row r="8" spans="1:12" ht="28.5" customHeight="1" x14ac:dyDescent="0.25">
      <c r="A8" s="213" t="s">
        <v>153</v>
      </c>
      <c r="B8" s="213"/>
      <c r="C8" s="213"/>
      <c r="D8" s="213"/>
    </row>
    <row r="9" spans="1:12" x14ac:dyDescent="0.25">
      <c r="A9" s="182" t="s">
        <v>154</v>
      </c>
      <c r="B9" s="190"/>
      <c r="C9" s="190"/>
      <c r="D9" s="190"/>
    </row>
    <row r="11" spans="1:12" s="3" customFormat="1" x14ac:dyDescent="0.25">
      <c r="A11" s="49" t="s">
        <v>119</v>
      </c>
    </row>
    <row r="12" spans="1:12" s="3" customFormat="1" x14ac:dyDescent="0.25">
      <c r="A12" s="3" t="s">
        <v>155</v>
      </c>
    </row>
    <row r="13" spans="1:12" s="3" customFormat="1" x14ac:dyDescent="0.25">
      <c r="A13" s="3" t="s">
        <v>156</v>
      </c>
    </row>
    <row r="14" spans="1:12" s="3" customFormat="1" x14ac:dyDescent="0.25">
      <c r="A14" s="3" t="s">
        <v>157</v>
      </c>
    </row>
    <row r="15" spans="1:12" s="3" customFormat="1" x14ac:dyDescent="0.25">
      <c r="A15" s="214" t="s">
        <v>417</v>
      </c>
      <c r="B15" s="214"/>
      <c r="C15" s="214"/>
      <c r="D15" s="214"/>
      <c r="E15" s="214"/>
      <c r="F15" s="214"/>
    </row>
    <row r="16" spans="1:12" x14ac:dyDescent="0.25">
      <c r="A16" s="53" t="s">
        <v>158</v>
      </c>
      <c r="B16" s="53"/>
      <c r="C16" s="53"/>
      <c r="D16" s="53"/>
      <c r="E16" s="53"/>
      <c r="F16" s="53"/>
      <c r="G16" s="53"/>
      <c r="H16" s="53"/>
      <c r="I16" s="53"/>
      <c r="J16" s="3"/>
      <c r="L16" s="41"/>
    </row>
    <row r="17" spans="1:13" ht="120" x14ac:dyDescent="0.25">
      <c r="A17" s="33" t="s">
        <v>159</v>
      </c>
      <c r="B17" s="33" t="s">
        <v>160</v>
      </c>
      <c r="C17" s="33" t="s">
        <v>161</v>
      </c>
      <c r="D17" s="33" t="s">
        <v>162</v>
      </c>
      <c r="E17" s="33" t="s">
        <v>163</v>
      </c>
      <c r="F17" s="33" t="s">
        <v>164</v>
      </c>
      <c r="G17" s="33" t="s">
        <v>165</v>
      </c>
      <c r="H17" s="33" t="s">
        <v>166</v>
      </c>
      <c r="I17" s="14" t="s">
        <v>167</v>
      </c>
      <c r="K17" s="41"/>
    </row>
    <row r="18" spans="1:13" x14ac:dyDescent="0.25">
      <c r="A18" s="126"/>
      <c r="B18" s="126" t="s">
        <v>124</v>
      </c>
      <c r="C18" s="126"/>
      <c r="D18" s="127" t="s">
        <v>168</v>
      </c>
      <c r="E18" s="127" t="s">
        <v>169</v>
      </c>
      <c r="F18" s="136">
        <f>(ReferenceLists2025!$E$83+ReferenceLists2025!E84)*C18</f>
        <v>0</v>
      </c>
      <c r="G18" s="136">
        <f>(F18/453.592)*365</f>
        <v>0</v>
      </c>
      <c r="H18" s="136" t="e" cm="1">
        <f t="array" ref="H18">_xlfn.IFS(D18="High Recharge Rate",VLOOKUP(B18,ReferenceLists2025!$A$1:$I$67,4,FALSE),D18="Medium Recharge Rate",VLOOKUP(B18,ReferenceLists2025!$A$1:$I$67,5,FALSE),D18="Low Recharge Rate",VLOOKUP(B18,ReferenceLists2025!$A$1:$I$67,6,FALSE))*G18*VLOOKUP(B18,ReferenceLists2025!$A$1:$I$67,7,FALSE)</f>
        <v>#VALUE!</v>
      </c>
      <c r="I18" s="137" t="e" cm="1">
        <f t="array" ref="I18">_xlfn.IFS(E18="Enhancement",VLOOKUP(B18,ReferenceLists2025!$A$1:$I$67,8,FALSE),E18="Sewering",VLOOKUP(B18,ReferenceLists2025!$A$1:$I$67,9,FALSE))*H18</f>
        <v>#VALUE!</v>
      </c>
      <c r="K18" s="41"/>
    </row>
    <row r="19" spans="1:13" x14ac:dyDescent="0.25">
      <c r="A19" s="42"/>
      <c r="B19" s="42"/>
      <c r="C19" s="42"/>
      <c r="D19" s="43"/>
      <c r="E19" s="43"/>
      <c r="F19" s="42"/>
      <c r="G19" s="42"/>
      <c r="H19" s="42"/>
      <c r="I19" s="42"/>
      <c r="L19" s="41"/>
    </row>
    <row r="20" spans="1:13" x14ac:dyDescent="0.25">
      <c r="D20" s="34"/>
      <c r="E20" s="34"/>
      <c r="L20" s="41"/>
    </row>
    <row r="22" spans="1:13" x14ac:dyDescent="0.25">
      <c r="A22" s="53" t="s">
        <v>170</v>
      </c>
      <c r="B22" s="53"/>
      <c r="C22" s="53"/>
      <c r="D22" s="53"/>
      <c r="E22" s="53"/>
      <c r="F22" s="53"/>
      <c r="G22" s="53"/>
      <c r="H22" s="53"/>
      <c r="I22" s="53"/>
      <c r="J22" s="53"/>
      <c r="K22" s="53"/>
      <c r="L22" s="53"/>
    </row>
    <row r="23" spans="1:13" ht="105" x14ac:dyDescent="0.25">
      <c r="A23" s="33" t="s">
        <v>171</v>
      </c>
      <c r="B23" s="33" t="s">
        <v>160</v>
      </c>
      <c r="C23" s="33" t="s">
        <v>172</v>
      </c>
      <c r="D23" s="33" t="s">
        <v>173</v>
      </c>
      <c r="E23" s="33" t="s">
        <v>174</v>
      </c>
      <c r="F23" s="33" t="s">
        <v>163</v>
      </c>
      <c r="G23" s="33" t="s">
        <v>175</v>
      </c>
      <c r="H23" s="33" t="s">
        <v>176</v>
      </c>
      <c r="I23" s="33" t="s">
        <v>177</v>
      </c>
      <c r="J23" s="183" t="s">
        <v>178</v>
      </c>
      <c r="K23" s="33" t="s">
        <v>179</v>
      </c>
      <c r="L23" s="14" t="s">
        <v>180</v>
      </c>
    </row>
    <row r="24" spans="1:13" x14ac:dyDescent="0.25">
      <c r="A24" s="132"/>
      <c r="B24" s="132" t="s">
        <v>124</v>
      </c>
      <c r="C24" s="133"/>
      <c r="D24" s="134"/>
      <c r="E24" s="134" t="s">
        <v>168</v>
      </c>
      <c r="F24" s="134" t="s">
        <v>169</v>
      </c>
      <c r="G24" s="6">
        <f>60*(1-0.3)</f>
        <v>42</v>
      </c>
      <c r="H24" s="6">
        <f>(D24/100)*ReferenceLists2025!O89</f>
        <v>0</v>
      </c>
      <c r="I24" s="6">
        <f>H24/1000000</f>
        <v>0</v>
      </c>
      <c r="J24" s="138">
        <f>I24*G24*8.34*365</f>
        <v>0</v>
      </c>
      <c r="K24" s="138" t="e" cm="1">
        <f t="array" ref="K24">_xlfn.IFS(E24="High Recharge Rate",VLOOKUP(B24,ReferenceLists2025!$A$1:$I$67,4,FALSE),E24="Medium Recharge Rate",VLOOKUP(B24,ReferenceLists2025!$A$1:$I$67,5,FALSE),E24="Low Recharge Rate",VLOOKUP(B24,ReferenceLists2025!$A$1:$I$67,6,FALSE))*J24*VLOOKUP(B24,ReferenceLists2025!$A$1:$I$67,7,FALSE)</f>
        <v>#VALUE!</v>
      </c>
      <c r="L24" s="139" t="e" cm="1">
        <f t="array" ref="L24">_xlfn.IFS(F24="Enhancement",VLOOKUP(B24,ReferenceLists2025!$A$1:$I$67,8,FALSE),F24="Sewering",VLOOKUP(B24,ReferenceLists2025!$A$1:$I$67,9,FALSE))*K24</f>
        <v>#VALUE!</v>
      </c>
    </row>
    <row r="27" spans="1:13" x14ac:dyDescent="0.25">
      <c r="A27" s="53" t="s">
        <v>181</v>
      </c>
      <c r="B27" s="53"/>
      <c r="C27" s="53"/>
      <c r="D27" s="53"/>
      <c r="E27" s="53"/>
      <c r="F27" s="53"/>
      <c r="G27" s="53"/>
      <c r="H27" s="53"/>
      <c r="I27" s="53"/>
      <c r="J27" s="53"/>
      <c r="K27" s="53"/>
      <c r="L27" s="53"/>
      <c r="M27" s="53"/>
    </row>
    <row r="28" spans="1:13" ht="90" x14ac:dyDescent="0.25">
      <c r="A28" s="33" t="s">
        <v>182</v>
      </c>
      <c r="B28" s="33" t="s">
        <v>183</v>
      </c>
      <c r="C28" s="33" t="s">
        <v>184</v>
      </c>
      <c r="D28" s="33" t="s">
        <v>185</v>
      </c>
      <c r="E28" s="33" t="s">
        <v>160</v>
      </c>
      <c r="F28" s="33" t="s">
        <v>186</v>
      </c>
      <c r="G28" s="33" t="s">
        <v>163</v>
      </c>
      <c r="H28" s="33" t="s">
        <v>187</v>
      </c>
      <c r="I28" s="33" t="s">
        <v>188</v>
      </c>
      <c r="J28" s="33" t="s">
        <v>189</v>
      </c>
      <c r="K28" s="183" t="s">
        <v>190</v>
      </c>
      <c r="L28" s="33" t="s">
        <v>191</v>
      </c>
      <c r="M28" s="14" t="s">
        <v>192</v>
      </c>
    </row>
    <row r="29" spans="1:13" ht="34.5" customHeight="1" x14ac:dyDescent="0.25">
      <c r="A29" s="133" t="s">
        <v>193</v>
      </c>
      <c r="B29" s="194" t="str">
        <f>VLOOKUP(A29,'OSTDS Flows by Facility Type'!A1:C18,2,FALSE)</f>
        <v>Determining Factor</v>
      </c>
      <c r="C29" s="133">
        <v>0</v>
      </c>
      <c r="D29" s="195" t="str">
        <f>VLOOKUP(A29,'OSTDS Flows by Facility Type'!A1:D18,3,FALSE)</f>
        <v>Average GPD per Determining Factor</v>
      </c>
      <c r="E29" s="132" t="s">
        <v>124</v>
      </c>
      <c r="F29" s="134" t="s">
        <v>168</v>
      </c>
      <c r="G29" s="134" t="s">
        <v>169</v>
      </c>
      <c r="H29" s="6">
        <f>60*(1-0.3)</f>
        <v>42</v>
      </c>
      <c r="I29" s="6" t="e">
        <f>D29*C29</f>
        <v>#VALUE!</v>
      </c>
      <c r="J29" s="6" t="e">
        <f>I29/1000000</f>
        <v>#VALUE!</v>
      </c>
      <c r="K29" s="138" t="e">
        <f>J29*H29*8.34*365</f>
        <v>#VALUE!</v>
      </c>
      <c r="L29" s="138" t="e" cm="1">
        <f t="array" ref="L29">_xlfn.IFS(F29="High Recharge Rate",VLOOKUP(E29,ReferenceLists2025!$A$1:$I$67,4,FALSE),F29="Medium Recharge Rate",VLOOKUP(E29,ReferenceLists2025!$A$1:$I$67,5,FALSE),F29="Low Recharge Rate",VLOOKUP(E29,ReferenceLists2025!$A$1:$I$67,6,FALSE))*K29*VLOOKUP(E29,ReferenceLists2025!$A$1:$I$67,7,FALSE)</f>
        <v>#VALUE!</v>
      </c>
      <c r="M29" s="139" t="e" cm="1">
        <f t="array" ref="M29">_xlfn.IFS(G29="Enhancement",VLOOKUP(E29,ReferenceLists2025!$A$1:$I$67,8,FALSE),G29="Sewering",VLOOKUP(E29,ReferenceLists2025!$A$1:$I$67,9,FALSE))*L29</f>
        <v>#VALUE!</v>
      </c>
    </row>
  </sheetData>
  <sheetProtection algorithmName="SHA-512" hashValue="2nChToLemULQDbmKHFqYWT1aYTdHOoqpK3qkcRHh5SvMwTBk67aEWVNvb7XTZcOdS0IEJhIrroLIFkoEjcPw2A==" saltValue="cABCZfug+JeFaumsbqXJVw==" spinCount="100000" sheet="1" objects="1" scenarios="1"/>
  <mergeCells count="2">
    <mergeCell ref="A8:D8"/>
    <mergeCell ref="A15:F15"/>
  </mergeCells>
  <hyperlinks>
    <hyperlink ref="A15:F15" r:id="rId1" display="Recharge areas GIS files can be downloaded here:  https://floridadep.gov/dear/water-quality-restoration/documents/full-recharge-2025-shapefile" xr:uid="{B49265C0-8FEC-405A-B75E-C98401BF88D2}"/>
  </hyperlinks>
  <pageMargins left="0.7" right="0.7" top="0.75" bottom="0.75" header="0.3" footer="0.3"/>
  <pageSetup orientation="portrait" horizontalDpi="0" verticalDpi="0" r:id="rId2"/>
  <customProperties>
    <customPr name="LastActive" r:id="rId3"/>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7DF756EA-B704-4D2E-A998-32B52A4C074B}">
          <x14:formula1>
            <xm:f>ReferenceLists2025!$A$1:$A$67</xm:f>
          </x14:formula1>
          <xm:sqref>B18 B24 E29</xm:sqref>
        </x14:dataValidation>
        <x14:dataValidation type="list" allowBlank="1" showInputMessage="1" showErrorMessage="1" xr:uid="{964F2D7B-8F2D-43CB-BEB6-F18B7B43BB5E}">
          <x14:formula1>
            <xm:f>ReferenceLists2025!$D$1:$F$1</xm:f>
          </x14:formula1>
          <xm:sqref>D18 E24 F29</xm:sqref>
        </x14:dataValidation>
        <x14:dataValidation type="list" allowBlank="1" showInputMessage="1" showErrorMessage="1" xr:uid="{9CDDE776-4495-4295-B9BE-B083905601EF}">
          <x14:formula1>
            <xm:f>ReferenceLists2025!$H$1:$I$1</xm:f>
          </x14:formula1>
          <xm:sqref>E18 F24 G29</xm:sqref>
        </x14:dataValidation>
        <x14:dataValidation type="list" allowBlank="1" showInputMessage="1" showErrorMessage="1" xr:uid="{A21C404F-0046-4DFA-92C5-572B74D366D4}">
          <x14:formula1>
            <xm:f>'OSTDS Flows by Facility Type'!$A$1:$A$18</xm:f>
          </x14:formula1>
          <xm:sqref>A29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C7A0-D22B-4F10-8F3C-82377F6D7E0E}">
  <sheetPr codeName="Sheet1">
    <tabColor rgb="FF00B050"/>
  </sheetPr>
  <dimension ref="A1:M43"/>
  <sheetViews>
    <sheetView showGridLines="0" workbookViewId="0">
      <selection activeCell="A15" sqref="A15:F15"/>
    </sheetView>
  </sheetViews>
  <sheetFormatPr defaultColWidth="9.140625" defaultRowHeight="15" x14ac:dyDescent="0.25"/>
  <cols>
    <col min="1" max="1" width="55.5703125" style="116" customWidth="1"/>
    <col min="2" max="2" width="36.140625" style="116" customWidth="1"/>
    <col min="3" max="3" width="18.5703125" style="116" customWidth="1"/>
    <col min="4" max="4" width="24.42578125" style="116" customWidth="1"/>
    <col min="5" max="5" width="21.42578125" style="116" customWidth="1"/>
    <col min="6" max="6" width="17.42578125" style="116" customWidth="1"/>
    <col min="7" max="7" width="18.5703125" style="116" customWidth="1"/>
    <col min="8" max="8" width="20.5703125" style="116" customWidth="1"/>
    <col min="9" max="9" width="18.7109375" style="116" customWidth="1"/>
    <col min="10" max="10" width="16.7109375" style="116" customWidth="1"/>
    <col min="11" max="11" width="17.7109375" style="116" customWidth="1"/>
    <col min="12" max="12" width="18" style="116" customWidth="1"/>
    <col min="13" max="13" width="20.85546875" style="116" customWidth="1"/>
    <col min="14" max="16384" width="9.140625" style="116"/>
  </cols>
  <sheetData>
    <row r="1" spans="1:12" x14ac:dyDescent="0.25">
      <c r="A1" s="176" t="s">
        <v>148</v>
      </c>
    </row>
    <row r="3" spans="1:12" x14ac:dyDescent="0.25">
      <c r="A3" s="114" t="s">
        <v>150</v>
      </c>
      <c r="B3" s="115"/>
    </row>
    <row r="4" spans="1:12" x14ac:dyDescent="0.25">
      <c r="A4" s="117" t="s">
        <v>118</v>
      </c>
      <c r="B4" s="115"/>
    </row>
    <row r="6" spans="1:12" x14ac:dyDescent="0.25">
      <c r="A6" s="118" t="s">
        <v>151</v>
      </c>
    </row>
    <row r="7" spans="1:12" x14ac:dyDescent="0.25">
      <c r="A7" s="119" t="s">
        <v>152</v>
      </c>
    </row>
    <row r="8" spans="1:12" ht="28.5" customHeight="1" x14ac:dyDescent="0.25">
      <c r="A8" s="215" t="s">
        <v>153</v>
      </c>
      <c r="B8" s="215"/>
      <c r="C8" s="215"/>
      <c r="D8" s="215"/>
    </row>
    <row r="9" spans="1:12" x14ac:dyDescent="0.25">
      <c r="A9" s="120" t="s">
        <v>154</v>
      </c>
      <c r="B9" s="191"/>
      <c r="C9" s="191"/>
      <c r="D9" s="191"/>
    </row>
    <row r="11" spans="1:12" s="118" customFormat="1" x14ac:dyDescent="0.25">
      <c r="A11" s="121" t="s">
        <v>119</v>
      </c>
    </row>
    <row r="12" spans="1:12" s="118" customFormat="1" x14ac:dyDescent="0.25">
      <c r="A12" s="118" t="s">
        <v>155</v>
      </c>
    </row>
    <row r="13" spans="1:12" s="118" customFormat="1" x14ac:dyDescent="0.25">
      <c r="A13" s="118" t="s">
        <v>156</v>
      </c>
    </row>
    <row r="14" spans="1:12" s="118" customFormat="1" x14ac:dyDescent="0.25">
      <c r="A14" s="118" t="s">
        <v>157</v>
      </c>
    </row>
    <row r="15" spans="1:12" s="118" customFormat="1" x14ac:dyDescent="0.25">
      <c r="A15" s="216" t="s">
        <v>417</v>
      </c>
      <c r="B15" s="216"/>
      <c r="C15" s="216"/>
      <c r="D15" s="216"/>
      <c r="E15" s="216"/>
      <c r="F15" s="216"/>
    </row>
    <row r="16" spans="1:12" x14ac:dyDescent="0.25">
      <c r="A16" s="122" t="s">
        <v>158</v>
      </c>
      <c r="B16" s="122"/>
      <c r="C16" s="122"/>
      <c r="D16" s="122"/>
      <c r="E16" s="122"/>
      <c r="F16" s="122"/>
      <c r="G16" s="122"/>
      <c r="H16" s="122"/>
      <c r="I16" s="122"/>
      <c r="J16" s="118"/>
      <c r="L16" s="123"/>
    </row>
    <row r="17" spans="1:13" ht="120" x14ac:dyDescent="0.25">
      <c r="A17" s="124" t="s">
        <v>159</v>
      </c>
      <c r="B17" s="124" t="s">
        <v>160</v>
      </c>
      <c r="C17" s="124" t="s">
        <v>161</v>
      </c>
      <c r="D17" s="124" t="s">
        <v>162</v>
      </c>
      <c r="E17" s="124" t="s">
        <v>163</v>
      </c>
      <c r="F17" s="124" t="s">
        <v>164</v>
      </c>
      <c r="G17" s="124" t="s">
        <v>165</v>
      </c>
      <c r="H17" s="124" t="s">
        <v>166</v>
      </c>
      <c r="I17" s="125" t="s">
        <v>167</v>
      </c>
      <c r="K17" s="123"/>
    </row>
    <row r="18" spans="1:13" x14ac:dyDescent="0.25">
      <c r="A18" s="126"/>
      <c r="B18" s="126" t="s">
        <v>124</v>
      </c>
      <c r="C18" s="126"/>
      <c r="D18" s="127" t="s">
        <v>168</v>
      </c>
      <c r="E18" s="127" t="s">
        <v>169</v>
      </c>
      <c r="F18" s="136">
        <f>(ReferenceLists!$E$83+ReferenceLists!$E$84)*C18</f>
        <v>0</v>
      </c>
      <c r="G18" s="136">
        <f>(F18/453.592)*365</f>
        <v>0</v>
      </c>
      <c r="H18" s="136" t="e" cm="1">
        <f t="array" ref="H18">_xlfn.IFS(D18="High Recharge Rate",VLOOKUP(B18,ReferenceLists!$A$1:$J$67,4,FALSE),D18="Medium Recharge Rate",VLOOKUP(B18,ReferenceLists!$A$1:$J$67,5,FALSE),D18="Low Recharge Rate",VLOOKUP(B18,ReferenceLists!$A$1:$J$67,6,FALSE))*G18*VLOOKUP(B18,ReferenceLists!$A$1:$J$67,7,FALSE)</f>
        <v>#VALUE!</v>
      </c>
      <c r="I18" s="137" t="e" cm="1">
        <f t="array" ref="I18">_xlfn.IFS(E18="Enhancement",VLOOKUP(B18,ReferenceLists!$A$1:$J$67,8,FALSE),E18="Sewering",VLOOKUP(B18,ReferenceLists!$A$1:$J$67,9,FALSE))*H18</f>
        <v>#VALUE!</v>
      </c>
      <c r="K18" s="123"/>
    </row>
    <row r="19" spans="1:13" x14ac:dyDescent="0.25">
      <c r="A19" s="128"/>
      <c r="B19" s="128"/>
      <c r="C19" s="128"/>
      <c r="D19" s="129"/>
      <c r="E19" s="129"/>
      <c r="F19" s="128"/>
      <c r="G19" s="128"/>
      <c r="H19" s="128"/>
      <c r="I19" s="128"/>
      <c r="L19" s="123"/>
    </row>
    <row r="20" spans="1:13" x14ac:dyDescent="0.25">
      <c r="D20" s="130"/>
      <c r="E20" s="130"/>
      <c r="L20" s="123"/>
    </row>
    <row r="22" spans="1:13" x14ac:dyDescent="0.25">
      <c r="A22" s="122" t="s">
        <v>170</v>
      </c>
      <c r="B22" s="122"/>
      <c r="C22" s="122"/>
      <c r="D22" s="122"/>
      <c r="E22" s="122"/>
      <c r="F22" s="122"/>
      <c r="G22" s="122"/>
      <c r="H22" s="122"/>
      <c r="I22" s="122"/>
      <c r="J22" s="122"/>
      <c r="K22" s="122"/>
      <c r="L22" s="122"/>
    </row>
    <row r="23" spans="1:13" ht="105" x14ac:dyDescent="0.25">
      <c r="A23" s="124" t="s">
        <v>171</v>
      </c>
      <c r="B23" s="124" t="s">
        <v>160</v>
      </c>
      <c r="C23" s="124" t="s">
        <v>172</v>
      </c>
      <c r="D23" s="124" t="s">
        <v>173</v>
      </c>
      <c r="E23" s="124" t="s">
        <v>174</v>
      </c>
      <c r="F23" s="124" t="s">
        <v>163</v>
      </c>
      <c r="G23" s="124" t="s">
        <v>175</v>
      </c>
      <c r="H23" s="124" t="s">
        <v>176</v>
      </c>
      <c r="I23" s="124" t="s">
        <v>177</v>
      </c>
      <c r="J23" s="131" t="s">
        <v>178</v>
      </c>
      <c r="K23" s="124" t="s">
        <v>179</v>
      </c>
      <c r="L23" s="125" t="s">
        <v>180</v>
      </c>
    </row>
    <row r="24" spans="1:13" x14ac:dyDescent="0.25">
      <c r="A24" s="132"/>
      <c r="B24" s="132" t="s">
        <v>124</v>
      </c>
      <c r="C24" s="133"/>
      <c r="D24" s="134"/>
      <c r="E24" s="134" t="s">
        <v>168</v>
      </c>
      <c r="F24" s="134" t="s">
        <v>169</v>
      </c>
      <c r="G24" s="6">
        <f>60*(1-0.3)</f>
        <v>42</v>
      </c>
      <c r="H24" s="6">
        <f>(D24/100)*ReferenceLists!$O$89</f>
        <v>0</v>
      </c>
      <c r="I24" s="6">
        <f>H24/1000000</f>
        <v>0</v>
      </c>
      <c r="J24" s="138">
        <f>I24*G24*8.34*365</f>
        <v>0</v>
      </c>
      <c r="K24" s="138" t="e" cm="1">
        <f t="array" ref="K24">_xlfn.IFS(E24="High Recharge Rate",VLOOKUP(B24,ReferenceLists!$A$1:$J$67,4,FALSE),E24="Medium Recharge Rate",VLOOKUP(B24,ReferenceLists!$A$1:$J$67,5,FALSE),E24="Low Recharge Rate",VLOOKUP(B24,ReferenceLists!$A$1:$J$67,6,FALSE))*J24*VLOOKUP(B24,ReferenceLists!$A$1:$J$67,7,FALSE)</f>
        <v>#VALUE!</v>
      </c>
      <c r="L24" s="139" t="e" cm="1">
        <f t="array" ref="L24">_xlfn.IFS(F24="Enhancement",VLOOKUP(B24,ReferenceLists!$A$1:$J$67,8,FALSE),F24="Sewering",VLOOKUP(B24,ReferenceLists!$A$1:$J$67,9,FALSE))*K24</f>
        <v>#VALUE!</v>
      </c>
    </row>
    <row r="27" spans="1:13" x14ac:dyDescent="0.25">
      <c r="A27" s="122" t="s">
        <v>181</v>
      </c>
      <c r="B27" s="122"/>
      <c r="C27" s="122"/>
      <c r="D27" s="122"/>
      <c r="E27" s="122"/>
      <c r="F27" s="122"/>
      <c r="G27" s="122"/>
      <c r="H27" s="122"/>
      <c r="I27" s="122"/>
      <c r="J27" s="122"/>
      <c r="K27" s="122"/>
      <c r="L27" s="122"/>
      <c r="M27" s="122"/>
    </row>
    <row r="28" spans="1:13" ht="90" x14ac:dyDescent="0.25">
      <c r="A28" s="124" t="s">
        <v>182</v>
      </c>
      <c r="B28" s="124" t="s">
        <v>183</v>
      </c>
      <c r="C28" s="124" t="s">
        <v>184</v>
      </c>
      <c r="D28" s="124" t="s">
        <v>185</v>
      </c>
      <c r="E28" s="124" t="s">
        <v>160</v>
      </c>
      <c r="F28" s="124" t="s">
        <v>186</v>
      </c>
      <c r="G28" s="124" t="s">
        <v>163</v>
      </c>
      <c r="H28" s="124" t="s">
        <v>187</v>
      </c>
      <c r="I28" s="124" t="s">
        <v>188</v>
      </c>
      <c r="J28" s="124" t="s">
        <v>189</v>
      </c>
      <c r="K28" s="131" t="s">
        <v>190</v>
      </c>
      <c r="L28" s="124" t="s">
        <v>191</v>
      </c>
      <c r="M28" s="125" t="s">
        <v>192</v>
      </c>
    </row>
    <row r="29" spans="1:13" ht="30" x14ac:dyDescent="0.25">
      <c r="A29" s="133" t="s">
        <v>193</v>
      </c>
      <c r="B29" s="5" t="str">
        <f>VLOOKUP(A29,'OSTDS Flows by Facility Type'!A1:D18,2,FALSE)</f>
        <v>Determining Factor</v>
      </c>
      <c r="C29" s="133"/>
      <c r="D29" s="87" t="str">
        <f>VLOOKUP(A29,'OSTDS Flows by Facility Type'!A1:D18,3,FALSE)</f>
        <v>Average GPD per Determining Factor</v>
      </c>
      <c r="E29" s="135" t="s">
        <v>124</v>
      </c>
      <c r="F29" s="135" t="s">
        <v>168</v>
      </c>
      <c r="G29" s="134" t="s">
        <v>169</v>
      </c>
      <c r="H29" s="6">
        <f>60*(1-0.3)</f>
        <v>42</v>
      </c>
      <c r="I29" s="6" t="e">
        <f>D29*C29</f>
        <v>#VALUE!</v>
      </c>
      <c r="J29" s="6" t="e">
        <f>I29/1000000</f>
        <v>#VALUE!</v>
      </c>
      <c r="K29" s="138" t="e">
        <f>J29*H29*8.34*365</f>
        <v>#VALUE!</v>
      </c>
      <c r="L29" s="138" t="e" cm="1">
        <f t="array" ref="L29">_xlfn.IFS(F29="High Recharge Rate",VLOOKUP(E29,ReferenceLists!$A$1:$J$67,4,FALSE),F29="Medium Recharge Rate",VLOOKUP(E29,ReferenceLists!$A$1:$J$67,5,FALSE),F29="Low Recharge Rate",VLOOKUP(E29,ReferenceLists!$A$1:$J$67,6,FALSE))*K29*VLOOKUP(E29,ReferenceLists!$A$1:$J$67,7,FALSE)</f>
        <v>#VALUE!</v>
      </c>
      <c r="M29" s="139" t="e" cm="1">
        <f t="array" ref="M29">_xlfn.IFS(G29="Enhancement",VLOOKUP(E29,ReferenceLists!$A$1:$J$67,8,FALSE),G29="Sewering",VLOOKUP(E29,ReferenceLists!$A$1:$J$67,9,FALSE))*L29</f>
        <v>#VALUE!</v>
      </c>
    </row>
    <row r="43" spans="1:1" x14ac:dyDescent="0.25">
      <c r="A43" s="116" t="s">
        <v>195</v>
      </c>
    </row>
  </sheetData>
  <sheetProtection algorithmName="SHA-512" hashValue="wq1ulTZJcZuA6R+TXSmnPduZHJ4L6axPOJ1As10gPsm5VfPZmVWTIC4SeVExGsA4tEThd4hbh0yG3cpm4gWAgA==" saltValue="I4tiZpOtG1aDNgRcbuaJdg==" spinCount="100000" sheet="1" objects="1" scenarios="1" selectLockedCells="1"/>
  <protectedRanges>
    <protectedRange algorithmName="SHA-512" hashValue="msIHDAy+q7slHWr87Rvl95T95xoZW+my/xL4dM4ZcaHs97m3dqaDPSPCybZjSPJjsvqaGZI4/vkZ7vvNCzlDZA==" saltValue="Idl+U+JiXQGiBH7GdNnz7w==" spinCount="100000" sqref="H29:M29" name="Range3"/>
    <protectedRange algorithmName="SHA-512" hashValue="IYSfXVO4LMH4TGJT1WLkPgKK9v/exMHO+R8oQ8CyFEiQjUZo/zqo318/LJnk3Hj8I667a42N5O02xLvy3vhmew==" saltValue="5cAKQMC3OItNUR5UL73qzg==" spinCount="100000" sqref="G24:L24" name="Range2"/>
    <protectedRange algorithmName="SHA-512" hashValue="TuXzkoSgq+0T29vtGVDSkW5V5YuKBnuHPyec3KDy1sUKydk/kB1Aawo0GcTbwV9vyWdBD36mMgXrquYg3cLVwg==" saltValue="FNYtFNbI8eJE4BS4Zxlgjg==" spinCount="100000" sqref="F18:I18" name="Range1"/>
  </protectedRanges>
  <mergeCells count="2">
    <mergeCell ref="A8:D8"/>
    <mergeCell ref="A15:F15"/>
  </mergeCells>
  <hyperlinks>
    <hyperlink ref="A15:F15" r:id="rId1" display="Recharge areas GIS files can be downloaded here:  https://floridadep.gov/dear/water-quality-restoration/documents/full-recharge-2025-shapefile" xr:uid="{C9AFF8E7-ABEC-43E7-88BF-31340EE7EA55}"/>
  </hyperlinks>
  <pageMargins left="0.7" right="0.7" top="0.75" bottom="0.75" header="0.3" footer="0.3"/>
  <pageSetup orientation="portrait" horizontalDpi="0" verticalDpi="0" r:id="rId2"/>
  <customProperties>
    <customPr name="LastActive" r:id="rId3"/>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7C017AD3-B0DC-43EE-9E66-DE1D56EDCBB6}">
          <x14:formula1>
            <xm:f>ReferenceLists!$H$1:$I$1</xm:f>
          </x14:formula1>
          <xm:sqref>F24 E18:E20 G29</xm:sqref>
        </x14:dataValidation>
        <x14:dataValidation type="list" allowBlank="1" showInputMessage="1" showErrorMessage="1" xr:uid="{44CD3E41-503B-4876-B3A2-9E10AE0E1A5C}">
          <x14:formula1>
            <xm:f>ReferenceLists!$D$1:$F$1</xm:f>
          </x14:formula1>
          <xm:sqref>E24 D18:D20 F29</xm:sqref>
        </x14:dataValidation>
        <x14:dataValidation type="list" allowBlank="1" showInputMessage="1" showErrorMessage="1" xr:uid="{FB072C37-0199-478A-B56B-C02FB7E263FB}">
          <x14:formula1>
            <xm:f>ReferenceLists!$A$1:$A$67</xm:f>
          </x14:formula1>
          <xm:sqref>B24 B18 E29</xm:sqref>
        </x14:dataValidation>
        <x14:dataValidation type="list" allowBlank="1" showInputMessage="1" showErrorMessage="1" xr:uid="{B5012B3E-D91C-4051-8E6F-E974B396799A}">
          <x14:formula1>
            <xm:f>'OSTDS Flows by Facility Type'!$A$1:$A$18</xm:f>
          </x14:formula1>
          <xm:sqref>A29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0977-46A2-4C86-9EE9-8F9704FC48FE}">
  <sheetPr codeName="Sheet6">
    <tabColor rgb="FFFFC000"/>
  </sheetPr>
  <dimension ref="A1:S59"/>
  <sheetViews>
    <sheetView showGridLines="0" zoomScale="80" zoomScaleNormal="80" workbookViewId="0">
      <selection activeCell="E15" sqref="E15"/>
    </sheetView>
  </sheetViews>
  <sheetFormatPr defaultColWidth="9.140625" defaultRowHeight="15" x14ac:dyDescent="0.25"/>
  <cols>
    <col min="1" max="1" width="61.7109375" customWidth="1"/>
    <col min="2" max="3" width="23.7109375" style="34" customWidth="1"/>
    <col min="4" max="4" width="16.28515625" customWidth="1"/>
    <col min="5" max="5" width="29.85546875" customWidth="1"/>
    <col min="6" max="6" width="22.42578125" customWidth="1"/>
    <col min="7" max="7" width="25.42578125" customWidth="1"/>
    <col min="8" max="8" width="17.85546875" customWidth="1"/>
    <col min="9" max="9" width="29.7109375" customWidth="1"/>
    <col min="10" max="10" width="26.5703125" customWidth="1"/>
    <col min="11" max="11" width="17.28515625" customWidth="1"/>
    <col min="12" max="12" width="30.5703125" customWidth="1"/>
    <col min="13" max="13" width="26" customWidth="1"/>
    <col min="14" max="14" width="16.7109375" customWidth="1"/>
    <col min="15" max="15" width="26.85546875" customWidth="1"/>
    <col min="16" max="16" width="65.5703125" customWidth="1"/>
    <col min="17" max="17" width="36.7109375" customWidth="1"/>
    <col min="18" max="18" width="15.7109375" customWidth="1"/>
    <col min="19" max="19" width="85.7109375" customWidth="1"/>
    <col min="20" max="20" width="17.140625" customWidth="1"/>
    <col min="21" max="21" width="24.140625" customWidth="1"/>
    <col min="22" max="22" width="10" customWidth="1"/>
  </cols>
  <sheetData>
    <row r="1" spans="1:19" x14ac:dyDescent="0.25">
      <c r="A1" s="176" t="s">
        <v>196</v>
      </c>
      <c r="B1"/>
    </row>
    <row r="2" spans="1:19" x14ac:dyDescent="0.25">
      <c r="A2" s="176" t="s">
        <v>197</v>
      </c>
      <c r="B2"/>
    </row>
    <row r="3" spans="1:19" x14ac:dyDescent="0.25">
      <c r="A3" s="176" t="s">
        <v>416</v>
      </c>
      <c r="B3"/>
    </row>
    <row r="4" spans="1:19" x14ac:dyDescent="0.25">
      <c r="A4" s="3" t="s">
        <v>198</v>
      </c>
    </row>
    <row r="5" spans="1:19" x14ac:dyDescent="0.25">
      <c r="A5" s="109" t="s">
        <v>103</v>
      </c>
      <c r="B5" s="81"/>
    </row>
    <row r="6" spans="1:19" x14ac:dyDescent="0.25">
      <c r="A6" t="s">
        <v>199</v>
      </c>
      <c r="D6" s="110" t="s">
        <v>200</v>
      </c>
      <c r="E6" s="111"/>
      <c r="F6" s="111"/>
    </row>
    <row r="7" spans="1:19" x14ac:dyDescent="0.25">
      <c r="A7" t="s">
        <v>201</v>
      </c>
    </row>
    <row r="8" spans="1:19" s="3" customFormat="1" x14ac:dyDescent="0.25">
      <c r="A8" s="49" t="s">
        <v>202</v>
      </c>
      <c r="B8" s="82"/>
      <c r="C8" s="82"/>
    </row>
    <row r="9" spans="1:19" s="3" customFormat="1" x14ac:dyDescent="0.25">
      <c r="A9" s="3" t="s">
        <v>155</v>
      </c>
      <c r="B9" s="82"/>
      <c r="C9" s="82"/>
    </row>
    <row r="10" spans="1:19" s="3" customFormat="1" x14ac:dyDescent="0.25">
      <c r="A10" s="3" t="s">
        <v>156</v>
      </c>
      <c r="B10" s="82"/>
      <c r="C10" s="82"/>
    </row>
    <row r="11" spans="1:19" s="3" customFormat="1" x14ac:dyDescent="0.25">
      <c r="A11" s="3" t="s">
        <v>157</v>
      </c>
      <c r="B11" s="82"/>
      <c r="C11" s="82"/>
    </row>
    <row r="13" spans="1:19" ht="38.450000000000003" customHeight="1" x14ac:dyDescent="0.25">
      <c r="A13" s="53" t="s">
        <v>203</v>
      </c>
      <c r="B13" s="83"/>
      <c r="C13" s="83"/>
      <c r="D13" s="55"/>
      <c r="E13" s="55"/>
      <c r="F13" s="55"/>
      <c r="G13" s="55"/>
      <c r="H13" s="55"/>
      <c r="I13" s="55"/>
      <c r="J13" s="55"/>
      <c r="K13" s="55"/>
    </row>
    <row r="14" spans="1:19" ht="75" x14ac:dyDescent="0.25">
      <c r="A14" s="74" t="s">
        <v>204</v>
      </c>
      <c r="B14" s="54" t="s">
        <v>205</v>
      </c>
      <c r="C14" s="54" t="s">
        <v>206</v>
      </c>
      <c r="D14" s="54" t="s">
        <v>207</v>
      </c>
      <c r="E14" s="54" t="s">
        <v>208</v>
      </c>
      <c r="F14" s="54" t="s">
        <v>209</v>
      </c>
      <c r="G14" s="54" t="s">
        <v>210</v>
      </c>
      <c r="H14" s="54" t="s">
        <v>211</v>
      </c>
      <c r="I14" s="93" t="s">
        <v>212</v>
      </c>
      <c r="J14" s="14" t="s">
        <v>213</v>
      </c>
      <c r="K14" s="75" t="s">
        <v>214</v>
      </c>
    </row>
    <row r="15" spans="1:19" x14ac:dyDescent="0.25">
      <c r="A15" s="196"/>
      <c r="B15" s="197" t="s">
        <v>215</v>
      </c>
      <c r="C15" s="134" t="s">
        <v>124</v>
      </c>
      <c r="D15" s="198"/>
      <c r="E15" s="199">
        <v>0.75</v>
      </c>
      <c r="F15" s="56">
        <v>23.7</v>
      </c>
      <c r="G15" s="92">
        <v>0.3</v>
      </c>
      <c r="H15" s="56">
        <f>D15*F15*G15</f>
        <v>0</v>
      </c>
      <c r="I15" s="86">
        <f>(H15*0.95)</f>
        <v>0</v>
      </c>
      <c r="J15" s="86">
        <f>(I15*E15)</f>
        <v>0</v>
      </c>
      <c r="K15" s="80"/>
    </row>
    <row r="16" spans="1:19" x14ac:dyDescent="0.25">
      <c r="A16" s="57"/>
      <c r="B16" s="84"/>
      <c r="C16" s="82"/>
      <c r="D16" s="82"/>
      <c r="E16" s="42"/>
      <c r="F16" s="58"/>
      <c r="G16" s="51"/>
      <c r="H16" s="58"/>
      <c r="I16" s="58"/>
      <c r="J16" s="58"/>
      <c r="K16" s="59"/>
      <c r="L16" s="58"/>
      <c r="M16" s="58"/>
      <c r="N16" s="64"/>
      <c r="O16" s="58"/>
      <c r="P16" s="60"/>
      <c r="Q16" s="61"/>
      <c r="R16" s="61"/>
      <c r="S16" s="62"/>
    </row>
    <row r="17" spans="1:19" x14ac:dyDescent="0.25">
      <c r="A17" s="63"/>
      <c r="B17" s="85"/>
      <c r="C17" s="82"/>
      <c r="D17" s="82"/>
      <c r="F17" s="64"/>
      <c r="G17" s="52"/>
      <c r="H17" s="64"/>
      <c r="I17" s="64"/>
      <c r="J17" s="64"/>
      <c r="K17" s="65"/>
      <c r="L17" s="64"/>
      <c r="M17" s="64"/>
      <c r="N17" s="69"/>
      <c r="O17" s="64"/>
      <c r="P17" s="66"/>
      <c r="Q17" s="67"/>
      <c r="R17" s="67"/>
      <c r="S17" s="68"/>
    </row>
    <row r="18" spans="1:19" x14ac:dyDescent="0.25">
      <c r="A18" s="3"/>
      <c r="B18" s="82"/>
      <c r="C18" s="82"/>
      <c r="F18" s="64"/>
      <c r="G18" s="64"/>
      <c r="H18" s="69"/>
      <c r="I18" s="69"/>
      <c r="J18" s="69"/>
      <c r="K18" s="69"/>
      <c r="L18" s="34"/>
      <c r="M18" s="34"/>
      <c r="O18" s="69"/>
      <c r="P18" s="70"/>
      <c r="Q18" s="71"/>
      <c r="R18" s="71"/>
      <c r="S18" s="71"/>
    </row>
    <row r="19" spans="1:19" x14ac:dyDescent="0.25">
      <c r="L19" s="70"/>
      <c r="M19" s="70"/>
      <c r="Q19" s="71"/>
      <c r="R19" s="71"/>
      <c r="S19" s="71"/>
    </row>
    <row r="20" spans="1:19" ht="30" customHeight="1" x14ac:dyDescent="0.25">
      <c r="A20" s="53" t="s">
        <v>216</v>
      </c>
      <c r="B20" s="83"/>
      <c r="C20" s="83"/>
      <c r="D20" s="55"/>
      <c r="E20" s="55"/>
      <c r="F20" s="55"/>
      <c r="G20" s="55"/>
      <c r="H20" s="55"/>
      <c r="N20" s="71"/>
    </row>
    <row r="21" spans="1:19" ht="90" x14ac:dyDescent="0.25">
      <c r="A21" s="90" t="s">
        <v>217</v>
      </c>
      <c r="B21" s="54" t="s">
        <v>206</v>
      </c>
      <c r="C21" s="54" t="s">
        <v>207</v>
      </c>
      <c r="D21" s="54" t="s">
        <v>218</v>
      </c>
      <c r="E21" s="54" t="s">
        <v>219</v>
      </c>
      <c r="F21" s="54" t="s">
        <v>220</v>
      </c>
      <c r="G21" s="46" t="s">
        <v>221</v>
      </c>
      <c r="H21" s="46" t="s">
        <v>222</v>
      </c>
      <c r="N21" s="71"/>
    </row>
    <row r="22" spans="1:19" x14ac:dyDescent="0.25">
      <c r="A22" s="200"/>
      <c r="B22" s="134" t="s">
        <v>124</v>
      </c>
      <c r="C22" s="198"/>
      <c r="D22" s="72">
        <v>23.7</v>
      </c>
      <c r="E22" s="91">
        <v>0.3</v>
      </c>
      <c r="F22" s="91">
        <v>0.5</v>
      </c>
      <c r="G22" s="79">
        <f>C22*D22*E22</f>
        <v>0</v>
      </c>
      <c r="H22" s="79">
        <f>(C22*D22*E22*F22)</f>
        <v>0</v>
      </c>
      <c r="N22" s="71"/>
    </row>
    <row r="23" spans="1:19" x14ac:dyDescent="0.25">
      <c r="J23" s="73"/>
      <c r="Q23" s="71"/>
      <c r="R23" s="71"/>
      <c r="S23" s="71"/>
    </row>
    <row r="24" spans="1:19" x14ac:dyDescent="0.25">
      <c r="Q24" s="71"/>
      <c r="R24" s="71"/>
      <c r="S24" s="71"/>
    </row>
    <row r="25" spans="1:19" x14ac:dyDescent="0.25">
      <c r="Q25" s="71"/>
      <c r="R25" s="71"/>
      <c r="S25" s="71"/>
    </row>
    <row r="26" spans="1:19" x14ac:dyDescent="0.25">
      <c r="Q26" s="71"/>
      <c r="R26" s="71"/>
      <c r="S26" s="71"/>
    </row>
    <row r="27" spans="1:19" x14ac:dyDescent="0.25">
      <c r="Q27" s="71"/>
      <c r="R27" s="71"/>
      <c r="S27" s="71"/>
    </row>
    <row r="28" spans="1:19" x14ac:dyDescent="0.25">
      <c r="Q28" s="71"/>
      <c r="R28" s="71"/>
      <c r="S28" s="71"/>
    </row>
    <row r="29" spans="1:19" x14ac:dyDescent="0.25">
      <c r="Q29" s="71"/>
      <c r="R29" s="71"/>
      <c r="S29" s="71"/>
    </row>
    <row r="30" spans="1:19" x14ac:dyDescent="0.25">
      <c r="Q30" s="71"/>
      <c r="R30" s="71"/>
      <c r="S30" s="71"/>
    </row>
    <row r="31" spans="1:19" x14ac:dyDescent="0.25">
      <c r="Q31" s="71"/>
      <c r="R31" s="71"/>
      <c r="S31" s="71"/>
    </row>
    <row r="32" spans="1:19" x14ac:dyDescent="0.25">
      <c r="Q32" s="71"/>
      <c r="R32" s="71"/>
      <c r="S32" s="71"/>
    </row>
    <row r="33" spans="17:19" x14ac:dyDescent="0.25">
      <c r="Q33" s="71"/>
      <c r="R33" s="71"/>
      <c r="S33" s="71"/>
    </row>
    <row r="34" spans="17:19" x14ac:dyDescent="0.25">
      <c r="Q34" s="73"/>
      <c r="R34" s="73"/>
      <c r="S34" s="73"/>
    </row>
    <row r="35" spans="17:19" x14ac:dyDescent="0.25">
      <c r="Q35" s="73"/>
      <c r="R35" s="73"/>
      <c r="S35" s="73"/>
    </row>
    <row r="36" spans="17:19" x14ac:dyDescent="0.25">
      <c r="Q36" s="73"/>
      <c r="R36" s="73"/>
      <c r="S36" s="73"/>
    </row>
    <row r="37" spans="17:19" x14ac:dyDescent="0.25">
      <c r="Q37" s="73"/>
      <c r="R37" s="73"/>
      <c r="S37" s="73"/>
    </row>
    <row r="38" spans="17:19" x14ac:dyDescent="0.25">
      <c r="Q38" s="73"/>
      <c r="R38" s="73"/>
      <c r="S38" s="73"/>
    </row>
    <row r="39" spans="17:19" x14ac:dyDescent="0.25">
      <c r="Q39" s="73"/>
      <c r="R39" s="73"/>
      <c r="S39" s="73"/>
    </row>
    <row r="40" spans="17:19" x14ac:dyDescent="0.25">
      <c r="Q40" s="73"/>
      <c r="R40" s="73"/>
      <c r="S40" s="73"/>
    </row>
    <row r="41" spans="17:19" x14ac:dyDescent="0.25">
      <c r="Q41" s="73"/>
      <c r="R41" s="73"/>
      <c r="S41" s="73"/>
    </row>
    <row r="42" spans="17:19" x14ac:dyDescent="0.25">
      <c r="Q42" s="73"/>
      <c r="R42" s="73"/>
      <c r="S42" s="73"/>
    </row>
    <row r="43" spans="17:19" x14ac:dyDescent="0.25">
      <c r="Q43" s="73"/>
      <c r="R43" s="73"/>
      <c r="S43" s="73"/>
    </row>
    <row r="44" spans="17:19" x14ac:dyDescent="0.25">
      <c r="Q44" s="73"/>
      <c r="R44" s="73"/>
      <c r="S44" s="73"/>
    </row>
    <row r="45" spans="17:19" x14ac:dyDescent="0.25">
      <c r="Q45" s="73"/>
      <c r="R45" s="73"/>
      <c r="S45" s="73"/>
    </row>
    <row r="46" spans="17:19" x14ac:dyDescent="0.25">
      <c r="Q46" s="73"/>
      <c r="R46" s="73"/>
      <c r="S46" s="73"/>
    </row>
    <row r="47" spans="17:19" x14ac:dyDescent="0.25">
      <c r="Q47" s="73"/>
      <c r="R47" s="73"/>
      <c r="S47" s="73"/>
    </row>
    <row r="48" spans="17:19" x14ac:dyDescent="0.25">
      <c r="Q48" s="73"/>
      <c r="R48" s="73"/>
      <c r="S48" s="73"/>
    </row>
    <row r="49" spans="17:19" x14ac:dyDescent="0.25">
      <c r="Q49" s="73"/>
      <c r="R49" s="73"/>
      <c r="S49" s="73"/>
    </row>
    <row r="50" spans="17:19" x14ac:dyDescent="0.25">
      <c r="Q50" s="73"/>
      <c r="R50" s="73"/>
      <c r="S50" s="73"/>
    </row>
    <row r="51" spans="17:19" x14ac:dyDescent="0.25">
      <c r="Q51" s="73"/>
      <c r="R51" s="73"/>
      <c r="S51" s="73"/>
    </row>
    <row r="52" spans="17:19" x14ac:dyDescent="0.25">
      <c r="Q52" s="73"/>
      <c r="R52" s="73"/>
      <c r="S52" s="73"/>
    </row>
    <row r="53" spans="17:19" x14ac:dyDescent="0.25">
      <c r="Q53" s="73"/>
      <c r="R53" s="73"/>
      <c r="S53" s="73"/>
    </row>
    <row r="54" spans="17:19" x14ac:dyDescent="0.25">
      <c r="Q54" s="73"/>
      <c r="R54" s="73"/>
      <c r="S54" s="73"/>
    </row>
    <row r="55" spans="17:19" x14ac:dyDescent="0.25">
      <c r="Q55" s="73"/>
      <c r="R55" s="73"/>
      <c r="S55" s="73"/>
    </row>
    <row r="56" spans="17:19" x14ac:dyDescent="0.25">
      <c r="Q56" s="73"/>
      <c r="R56" s="73"/>
      <c r="S56" s="73"/>
    </row>
    <row r="57" spans="17:19" x14ac:dyDescent="0.25">
      <c r="Q57" s="73"/>
      <c r="R57" s="73"/>
      <c r="S57" s="73"/>
    </row>
    <row r="58" spans="17:19" x14ac:dyDescent="0.25">
      <c r="Q58" s="73"/>
      <c r="R58" s="73"/>
      <c r="S58" s="73"/>
    </row>
    <row r="59" spans="17:19" x14ac:dyDescent="0.25">
      <c r="Q59" s="73"/>
      <c r="R59" s="73"/>
      <c r="S59" s="73"/>
    </row>
  </sheetData>
  <sheetProtection algorithmName="SHA-512" hashValue="E7jhSMbeVl7e1HJyaRylxPAqooXG2+WuclAN42yI5KFSxGLuqA85FaXY7WYLDSTzQmUh73CvGf1dtQprc/T91A==" saltValue="kNj+ZCDrFmJfNgO62zB09g==" spinCount="100000" sheet="1" objects="1" scenarios="1"/>
  <protectedRanges>
    <protectedRange algorithmName="SHA-512" hashValue="R4bFweDK8fObsf1Pvh/ROS8pihurVQblAunBhuAMWmXXgDWnTrltz67HXiViGo9x7DhzhnFnsUDSGg7IahEyZQ==" saltValue="DqCicP5esL8y5d8t7qIz0A==" spinCount="100000" sqref="F15:J15 D22:H22" name="Range1"/>
  </protectedRanges>
  <dataValidations count="2">
    <dataValidation type="list" allowBlank="1" showInputMessage="1" showErrorMessage="1" sqref="B16:B17" xr:uid="{C8445CE3-BD6A-4F74-8185-29EC4B9C42F9}">
      <formula1>"'Y','N','Not Sure'"</formula1>
    </dataValidation>
    <dataValidation type="list" allowBlank="1" showInputMessage="1" showErrorMessage="1" sqref="B15" xr:uid="{3C0B3F7C-14BB-4ECE-A2B7-420527B0F5B7}">
      <formula1>"'Y,'N,'Not Sure"</formula1>
    </dataValidation>
  </dataValidations>
  <pageMargins left="0.7" right="0.7" top="0.75" bottom="0.75" header="0.3" footer="0.3"/>
  <pageSetup orientation="portrait" r:id="rId1"/>
  <customProperties>
    <customPr name="LastActive" r:id="rId2"/>
  </customProperties>
  <extLst>
    <ext xmlns:x14="http://schemas.microsoft.com/office/spreadsheetml/2009/9/main" uri="{CCE6A557-97BC-4b89-ADB6-D9C93CAAB3DF}">
      <x14:dataValidations xmlns:xm="http://schemas.microsoft.com/office/excel/2006/main" count="3">
        <x14:dataValidation type="list" allowBlank="1" showInputMessage="1" showErrorMessage="1" xr:uid="{9AEB2B74-4B4C-4300-A39F-1C5FD1A77ED7}">
          <x14:formula1>
            <xm:f>ReferenceLists!$A$1:$A$67</xm:f>
          </x14:formula1>
          <xm:sqref>B22 C15</xm:sqref>
        </x14:dataValidation>
        <x14:dataValidation type="list" allowBlank="1" showInputMessage="1" showErrorMessage="1" xr:uid="{FD3BB574-2E91-4290-86AA-8BAA45088F4D}">
          <x14:formula1>
            <xm:f>ReferenceLists!$C$1:$F$1</xm:f>
          </x14:formula1>
          <xm:sqref>O16:O17</xm:sqref>
        </x14:dataValidation>
        <x14:dataValidation type="list" allowBlank="1" showInputMessage="1" showErrorMessage="1" xr:uid="{7CDD307A-2042-444C-BE8E-8B0D28539A90}">
          <x14:formula1>
            <xm:f>ReferenceLists!$O$12:$O$20</xm:f>
          </x14:formula1>
          <xm:sqref>M17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86F5-EB6B-4A36-8444-E042FAED4382}">
  <sheetPr codeName="Sheet5">
    <tabColor rgb="FFFFC000"/>
  </sheetPr>
  <dimension ref="A1:H16"/>
  <sheetViews>
    <sheetView showGridLines="0" zoomScaleNormal="100" workbookViewId="0">
      <selection activeCell="B18" sqref="B18"/>
    </sheetView>
  </sheetViews>
  <sheetFormatPr defaultRowHeight="15" x14ac:dyDescent="0.25"/>
  <cols>
    <col min="1" max="1" width="15.140625" customWidth="1"/>
    <col min="2" max="2" width="28" customWidth="1"/>
    <col min="3" max="3" width="23.28515625" customWidth="1"/>
    <col min="4" max="4" width="17.7109375" customWidth="1"/>
    <col min="5" max="5" width="23.28515625" customWidth="1"/>
    <col min="6" max="6" width="14.7109375" customWidth="1"/>
    <col min="7" max="7" width="17.28515625" customWidth="1"/>
    <col min="8" max="8" width="20.7109375" customWidth="1"/>
    <col min="9" max="10" width="13.28515625" customWidth="1"/>
  </cols>
  <sheetData>
    <row r="1" spans="1:8" x14ac:dyDescent="0.25">
      <c r="A1" s="176" t="s">
        <v>224</v>
      </c>
    </row>
    <row r="2" spans="1:8" x14ac:dyDescent="0.25">
      <c r="A2" s="176" t="s">
        <v>197</v>
      </c>
    </row>
    <row r="3" spans="1:8" s="176" customFormat="1" x14ac:dyDescent="0.25">
      <c r="A3" s="176" t="s">
        <v>416</v>
      </c>
    </row>
    <row r="4" spans="1:8" x14ac:dyDescent="0.25">
      <c r="A4" s="3" t="s">
        <v>110</v>
      </c>
    </row>
    <row r="5" spans="1:8" x14ac:dyDescent="0.25">
      <c r="A5" s="32" t="s">
        <v>103</v>
      </c>
      <c r="B5" s="32"/>
      <c r="C5" s="32"/>
      <c r="D5" s="32"/>
    </row>
    <row r="6" spans="1:8" x14ac:dyDescent="0.25">
      <c r="A6" t="s">
        <v>225</v>
      </c>
    </row>
    <row r="7" spans="1:8" x14ac:dyDescent="0.25">
      <c r="A7" t="s">
        <v>226</v>
      </c>
    </row>
    <row r="8" spans="1:8" x14ac:dyDescent="0.25">
      <c r="A8" t="s">
        <v>227</v>
      </c>
    </row>
    <row r="9" spans="1:8" x14ac:dyDescent="0.25">
      <c r="A9" t="s">
        <v>201</v>
      </c>
    </row>
    <row r="10" spans="1:8" s="3" customFormat="1" x14ac:dyDescent="0.25">
      <c r="A10" s="49" t="s">
        <v>119</v>
      </c>
      <c r="B10" s="49"/>
      <c r="D10" s="176"/>
    </row>
    <row r="11" spans="1:8" s="3" customFormat="1" x14ac:dyDescent="0.25">
      <c r="A11" s="3" t="s">
        <v>155</v>
      </c>
    </row>
    <row r="12" spans="1:8" s="3" customFormat="1" x14ac:dyDescent="0.25">
      <c r="A12" s="3" t="s">
        <v>156</v>
      </c>
    </row>
    <row r="13" spans="1:8" s="3" customFormat="1" x14ac:dyDescent="0.25">
      <c r="A13" s="3" t="s">
        <v>157</v>
      </c>
    </row>
    <row r="15" spans="1:8" ht="60" x14ac:dyDescent="0.25">
      <c r="A15" s="33" t="s">
        <v>206</v>
      </c>
      <c r="B15" s="33" t="s">
        <v>228</v>
      </c>
      <c r="C15" s="33" t="s">
        <v>229</v>
      </c>
      <c r="D15" s="33" t="s">
        <v>230</v>
      </c>
      <c r="E15" s="33" t="s">
        <v>231</v>
      </c>
      <c r="F15" s="33" t="s">
        <v>232</v>
      </c>
      <c r="G15" s="33" t="s">
        <v>233</v>
      </c>
      <c r="H15" s="14" t="s">
        <v>234</v>
      </c>
    </row>
    <row r="16" spans="1:8" x14ac:dyDescent="0.25">
      <c r="A16" s="132" t="s">
        <v>124</v>
      </c>
      <c r="B16" s="132"/>
      <c r="C16" s="5" t="str">
        <f>VLOOKUP(A16,ReferenceLists2025!A1:I67,2,FALSE)</f>
        <v># of Persons Per Household (2020 Census)</v>
      </c>
      <c r="D16" s="5">
        <v>70</v>
      </c>
      <c r="E16" s="94">
        <v>0.15</v>
      </c>
      <c r="F16" s="184">
        <v>10</v>
      </c>
      <c r="G16" s="94">
        <v>0.3</v>
      </c>
      <c r="H16" s="78" t="e">
        <f>B16*C16*F16*G16</f>
        <v>#VALUE!</v>
      </c>
    </row>
  </sheetData>
  <sheetProtection algorithmName="SHA-512" hashValue="p6jpbGpvorwZ0HVX9JFLhuV+WAanbZO+9Shya5RhHvxc3yekplz+PZRN2ef6oP3+AcnqKN2WNtkVoDUI2KHQLg==" saltValue="sy1M1m5APMSgNXHsDG4yxw==" spinCount="100000" sheet="1" objects="1" scenarios="1"/>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6B07BF83-AFA8-4612-944E-960BDBB1DC15}">
          <x14:formula1>
            <xm:f>ReferenceLists2025!$A$1:$A$67</xm:f>
          </x14:formula1>
          <xm:sqref>A16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0AD1-26E0-4AD8-9F77-584419EE0656}">
  <sheetPr>
    <tabColor rgb="FFFFC000"/>
  </sheetPr>
  <dimension ref="A1:C14"/>
  <sheetViews>
    <sheetView workbookViewId="0">
      <selection activeCell="B20" sqref="B20"/>
    </sheetView>
  </sheetViews>
  <sheetFormatPr defaultRowHeight="15" x14ac:dyDescent="0.25"/>
  <cols>
    <col min="1" max="1" width="117.28515625" customWidth="1"/>
    <col min="2" max="2" width="80.140625" customWidth="1"/>
    <col min="3" max="3" width="55" customWidth="1"/>
  </cols>
  <sheetData>
    <row r="1" spans="1:3" x14ac:dyDescent="0.25">
      <c r="A1" s="176" t="s">
        <v>235</v>
      </c>
    </row>
    <row r="3" spans="1:3" x14ac:dyDescent="0.25">
      <c r="A3" s="102" t="s">
        <v>66</v>
      </c>
      <c r="B3" s="102"/>
      <c r="C3" s="102"/>
    </row>
    <row r="4" spans="1:3" x14ac:dyDescent="0.25">
      <c r="A4" s="103" t="s">
        <v>69</v>
      </c>
      <c r="B4" s="2" t="s">
        <v>51</v>
      </c>
      <c r="C4" s="100" t="s">
        <v>70</v>
      </c>
    </row>
    <row r="5" spans="1:3" x14ac:dyDescent="0.25">
      <c r="A5" s="45" t="s">
        <v>73</v>
      </c>
      <c r="B5" s="10" t="s">
        <v>74</v>
      </c>
      <c r="C5" s="101" t="s">
        <v>75</v>
      </c>
    </row>
    <row r="6" spans="1:3" ht="30" x14ac:dyDescent="0.25">
      <c r="A6" s="45" t="s">
        <v>79</v>
      </c>
      <c r="B6" s="10" t="s">
        <v>80</v>
      </c>
      <c r="C6" s="101" t="s">
        <v>81</v>
      </c>
    </row>
    <row r="7" spans="1:3" ht="30" x14ac:dyDescent="0.25">
      <c r="A7" s="45" t="s">
        <v>236</v>
      </c>
      <c r="B7" s="10" t="s">
        <v>85</v>
      </c>
      <c r="C7" s="101" t="s">
        <v>86</v>
      </c>
    </row>
    <row r="8" spans="1:3" ht="30" x14ac:dyDescent="0.25">
      <c r="A8" s="45" t="s">
        <v>89</v>
      </c>
      <c r="B8" s="10" t="s">
        <v>90</v>
      </c>
    </row>
    <row r="9" spans="1:3" ht="45" x14ac:dyDescent="0.25">
      <c r="A9" s="104" t="s">
        <v>93</v>
      </c>
      <c r="B9" s="10" t="s">
        <v>94</v>
      </c>
    </row>
    <row r="10" spans="1:3" ht="30" x14ac:dyDescent="0.25">
      <c r="A10" s="105"/>
      <c r="B10" s="10" t="s">
        <v>97</v>
      </c>
    </row>
    <row r="13" spans="1:3" x14ac:dyDescent="0.25">
      <c r="A13" s="3" t="s">
        <v>237</v>
      </c>
    </row>
    <row r="14" spans="1:3" x14ac:dyDescent="0.25">
      <c r="A14" s="3" t="s">
        <v>238</v>
      </c>
    </row>
  </sheetData>
  <hyperlinks>
    <hyperlink ref="A9" r:id="rId1" display="https://people.sc.fsu.edu/%7Emye/ArcNLET/" xr:uid="{3C7D90CE-FE43-4ECF-850A-5CB9D565551E}"/>
  </hyperlinks>
  <pageMargins left="0.7" right="0.7" top="0.75" bottom="0.75" header="0.3" footer="0.3"/>
  <customProperties>
    <customPr name="LastActive"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3CD6-5112-467A-9C64-69CF5265C6AF}">
  <sheetPr>
    <tabColor theme="0" tint="-0.499984740745262"/>
  </sheetPr>
  <dimension ref="A1:W105"/>
  <sheetViews>
    <sheetView topLeftCell="E52" zoomScaleNormal="100" workbookViewId="0">
      <selection activeCell="E83" sqref="E83"/>
    </sheetView>
  </sheetViews>
  <sheetFormatPr defaultColWidth="23.85546875" defaultRowHeight="15" x14ac:dyDescent="0.25"/>
  <cols>
    <col min="2" max="9" width="14" customWidth="1"/>
    <col min="10" max="10" width="42.5703125" customWidth="1"/>
    <col min="11" max="14" width="8.42578125" customWidth="1"/>
    <col min="15" max="15" width="37.85546875" customWidth="1"/>
    <col min="16" max="16" width="31.28515625" customWidth="1"/>
    <col min="17" max="17" width="12" customWidth="1"/>
    <col min="18" max="18" width="72.42578125" customWidth="1"/>
  </cols>
  <sheetData>
    <row r="1" spans="1:18" ht="39" x14ac:dyDescent="0.25">
      <c r="A1" s="12" t="s">
        <v>124</v>
      </c>
      <c r="B1" s="13" t="s">
        <v>239</v>
      </c>
      <c r="C1" s="13" t="s">
        <v>240</v>
      </c>
      <c r="D1" s="13" t="s">
        <v>168</v>
      </c>
      <c r="E1" s="13" t="s">
        <v>123</v>
      </c>
      <c r="F1" s="13" t="s">
        <v>241</v>
      </c>
      <c r="G1" s="13" t="s">
        <v>242</v>
      </c>
      <c r="H1" s="13" t="s">
        <v>243</v>
      </c>
      <c r="I1" s="13" t="s">
        <v>169</v>
      </c>
      <c r="J1" s="12" t="s">
        <v>244</v>
      </c>
      <c r="O1" s="46" t="s">
        <v>245</v>
      </c>
      <c r="P1" s="46" t="s">
        <v>246</v>
      </c>
      <c r="Q1" s="47" t="s">
        <v>242</v>
      </c>
      <c r="R1" s="47" t="s">
        <v>247</v>
      </c>
    </row>
    <row r="2" spans="1:18" ht="15" customHeight="1" x14ac:dyDescent="0.25">
      <c r="A2" t="s">
        <v>248</v>
      </c>
      <c r="B2" s="178">
        <v>2.48</v>
      </c>
      <c r="C2" s="5">
        <v>1</v>
      </c>
      <c r="D2" s="5">
        <v>0.9</v>
      </c>
      <c r="E2" s="6">
        <v>0.5</v>
      </c>
      <c r="F2" s="6">
        <v>0.1</v>
      </c>
      <c r="G2" s="179">
        <v>0.3</v>
      </c>
      <c r="H2" s="179">
        <v>0.5</v>
      </c>
      <c r="I2" s="6">
        <v>0.95</v>
      </c>
      <c r="J2" s="5" t="s">
        <v>249</v>
      </c>
      <c r="O2" s="48" t="s">
        <v>250</v>
      </c>
      <c r="P2" s="48" t="s">
        <v>251</v>
      </c>
      <c r="Q2" s="5">
        <v>0.42899999999999999</v>
      </c>
      <c r="R2" s="45" t="s">
        <v>252</v>
      </c>
    </row>
    <row r="3" spans="1:18" ht="15" customHeight="1" x14ac:dyDescent="0.25">
      <c r="A3" t="s">
        <v>194</v>
      </c>
      <c r="B3" s="178">
        <v>2.91</v>
      </c>
      <c r="C3" s="5">
        <v>1</v>
      </c>
      <c r="D3" s="5">
        <v>0.9</v>
      </c>
      <c r="E3" s="6">
        <v>0.5</v>
      </c>
      <c r="F3" s="6">
        <v>0.1</v>
      </c>
      <c r="G3" s="179">
        <v>0.3</v>
      </c>
      <c r="H3" s="179">
        <v>0.5</v>
      </c>
      <c r="I3" s="6">
        <v>0.95</v>
      </c>
      <c r="J3" s="5" t="s">
        <v>253</v>
      </c>
    </row>
    <row r="4" spans="1:18" x14ac:dyDescent="0.25">
      <c r="A4" t="s">
        <v>254</v>
      </c>
      <c r="B4" s="5">
        <v>2.57</v>
      </c>
      <c r="C4" s="5">
        <v>1</v>
      </c>
      <c r="D4" s="5">
        <v>0.9</v>
      </c>
      <c r="E4" s="6">
        <v>0.5</v>
      </c>
      <c r="F4" s="6">
        <v>0.1</v>
      </c>
      <c r="G4" s="179">
        <v>0.3</v>
      </c>
      <c r="H4" s="179">
        <v>0.5</v>
      </c>
      <c r="I4" s="6">
        <v>0.95</v>
      </c>
      <c r="J4" s="5"/>
      <c r="P4" s="41"/>
    </row>
    <row r="5" spans="1:18" x14ac:dyDescent="0.25">
      <c r="A5" t="s">
        <v>255</v>
      </c>
      <c r="B5" s="5">
        <v>2.6</v>
      </c>
      <c r="C5" s="5">
        <v>1</v>
      </c>
      <c r="D5" s="5">
        <v>0.9</v>
      </c>
      <c r="E5" s="6">
        <v>0.5</v>
      </c>
      <c r="F5" s="6">
        <v>0.1</v>
      </c>
      <c r="G5" s="179">
        <v>0.3</v>
      </c>
      <c r="H5" s="179">
        <v>0.5</v>
      </c>
      <c r="I5" s="6">
        <v>0.95</v>
      </c>
      <c r="J5" s="5"/>
      <c r="O5" t="s">
        <v>256</v>
      </c>
      <c r="P5" s="41"/>
    </row>
    <row r="6" spans="1:18" x14ac:dyDescent="0.25">
      <c r="A6" t="s">
        <v>223</v>
      </c>
      <c r="B6" s="5">
        <v>2.4900000000000002</v>
      </c>
      <c r="C6" s="5">
        <v>1</v>
      </c>
      <c r="D6" s="5">
        <v>0.9</v>
      </c>
      <c r="E6" s="6">
        <v>0.5</v>
      </c>
      <c r="F6" s="6">
        <v>0.1</v>
      </c>
      <c r="G6" s="179">
        <v>0.3</v>
      </c>
      <c r="H6" s="179">
        <v>0.5</v>
      </c>
      <c r="I6" s="6">
        <v>0.95</v>
      </c>
      <c r="J6" s="5"/>
      <c r="O6" s="46" t="s">
        <v>257</v>
      </c>
      <c r="P6" s="46" t="s">
        <v>258</v>
      </c>
    </row>
    <row r="7" spans="1:18" x14ac:dyDescent="0.25">
      <c r="A7" t="s">
        <v>259</v>
      </c>
      <c r="B7" s="5">
        <v>2.77</v>
      </c>
      <c r="C7" s="5">
        <v>1</v>
      </c>
      <c r="D7" s="5">
        <v>0.9</v>
      </c>
      <c r="E7" s="6">
        <v>0.5</v>
      </c>
      <c r="F7" s="6">
        <v>0.1</v>
      </c>
      <c r="G7" s="179">
        <v>0.3</v>
      </c>
      <c r="H7" s="179">
        <v>0.5</v>
      </c>
      <c r="I7" s="6">
        <v>0.95</v>
      </c>
      <c r="J7" s="5"/>
      <c r="O7" s="48" t="s">
        <v>260</v>
      </c>
      <c r="P7" s="6">
        <v>4.9000000000000002E-2</v>
      </c>
    </row>
    <row r="8" spans="1:18" x14ac:dyDescent="0.25">
      <c r="A8" t="s">
        <v>261</v>
      </c>
      <c r="B8" s="5">
        <v>2.73</v>
      </c>
      <c r="C8" s="5">
        <v>1</v>
      </c>
      <c r="D8" s="5">
        <v>0.9</v>
      </c>
      <c r="E8" s="6">
        <v>0.5</v>
      </c>
      <c r="F8" s="6">
        <v>0.1</v>
      </c>
      <c r="G8" s="179">
        <v>0.3</v>
      </c>
      <c r="H8" s="179">
        <v>0.5</v>
      </c>
      <c r="I8" s="6">
        <v>0.95</v>
      </c>
      <c r="J8" s="5"/>
      <c r="O8" s="48" t="s">
        <v>262</v>
      </c>
      <c r="P8" s="6">
        <v>0.16400000000000001</v>
      </c>
    </row>
    <row r="9" spans="1:18" x14ac:dyDescent="0.25">
      <c r="A9" t="s">
        <v>263</v>
      </c>
      <c r="B9" s="5">
        <v>2.2799999999999998</v>
      </c>
      <c r="C9" s="5">
        <v>1</v>
      </c>
      <c r="D9" s="5">
        <v>0.9</v>
      </c>
      <c r="E9" s="6">
        <v>0.5</v>
      </c>
      <c r="F9" s="6">
        <v>0.1</v>
      </c>
      <c r="G9" s="179">
        <v>0.3</v>
      </c>
      <c r="H9" s="179">
        <v>0.5</v>
      </c>
      <c r="I9" s="6">
        <v>0.95</v>
      </c>
      <c r="J9" s="5"/>
      <c r="O9" s="48" t="s">
        <v>264</v>
      </c>
      <c r="P9" s="6" t="s">
        <v>265</v>
      </c>
    </row>
    <row r="10" spans="1:18" x14ac:dyDescent="0.25">
      <c r="A10" t="s">
        <v>266</v>
      </c>
      <c r="B10" s="178">
        <v>2.25</v>
      </c>
      <c r="C10" s="5">
        <v>1</v>
      </c>
      <c r="D10" s="5">
        <v>0.9</v>
      </c>
      <c r="E10" s="6">
        <v>0.5</v>
      </c>
      <c r="F10" s="6">
        <v>0.1</v>
      </c>
      <c r="G10" s="179">
        <v>0.3</v>
      </c>
      <c r="H10" s="179">
        <v>0.5</v>
      </c>
      <c r="I10" s="6">
        <v>0.95</v>
      </c>
      <c r="J10" s="5" t="s">
        <v>267</v>
      </c>
      <c r="O10" s="48" t="s">
        <v>268</v>
      </c>
      <c r="P10" s="6" t="s">
        <v>269</v>
      </c>
    </row>
    <row r="11" spans="1:18" x14ac:dyDescent="0.25">
      <c r="A11" t="s">
        <v>270</v>
      </c>
      <c r="B11" s="5">
        <v>2.81</v>
      </c>
      <c r="C11" s="5">
        <v>1</v>
      </c>
      <c r="D11" s="5">
        <v>0.9</v>
      </c>
      <c r="E11" s="6">
        <v>0.5</v>
      </c>
      <c r="F11" s="6">
        <v>0.1</v>
      </c>
      <c r="G11" s="179">
        <v>0.3</v>
      </c>
      <c r="H11" s="179">
        <v>0.5</v>
      </c>
      <c r="I11" s="6">
        <v>0.95</v>
      </c>
      <c r="J11" s="5"/>
      <c r="O11" s="48" t="s">
        <v>271</v>
      </c>
      <c r="P11" s="6" t="s">
        <v>272</v>
      </c>
      <c r="Q11" s="50"/>
    </row>
    <row r="12" spans="1:18" x14ac:dyDescent="0.25">
      <c r="A12" t="s">
        <v>273</v>
      </c>
      <c r="B12" s="5">
        <v>2.5499999999999998</v>
      </c>
      <c r="C12" s="5">
        <v>1</v>
      </c>
      <c r="D12" s="5">
        <v>0.9</v>
      </c>
      <c r="E12" s="6">
        <v>0.5</v>
      </c>
      <c r="F12" s="6">
        <v>0.1</v>
      </c>
      <c r="G12" s="179">
        <v>0.3</v>
      </c>
      <c r="H12" s="179">
        <v>0.5</v>
      </c>
      <c r="I12" s="6">
        <v>0.95</v>
      </c>
      <c r="J12" s="5"/>
      <c r="O12" s="48" t="s">
        <v>274</v>
      </c>
      <c r="P12" s="6">
        <v>0.7</v>
      </c>
      <c r="Q12" s="44"/>
      <c r="R12" t="s">
        <v>275</v>
      </c>
    </row>
    <row r="13" spans="1:18" x14ac:dyDescent="0.25">
      <c r="A13" t="s">
        <v>276</v>
      </c>
      <c r="B13" s="178">
        <v>2.62</v>
      </c>
      <c r="C13" s="5">
        <v>1</v>
      </c>
      <c r="D13" s="5">
        <v>0.9</v>
      </c>
      <c r="E13" s="6">
        <v>0.5</v>
      </c>
      <c r="F13" s="6">
        <v>0.1</v>
      </c>
      <c r="G13" s="179">
        <v>0.3</v>
      </c>
      <c r="H13" s="179">
        <v>0.5</v>
      </c>
      <c r="I13" s="6">
        <v>0.95</v>
      </c>
      <c r="J13" s="5" t="s">
        <v>253</v>
      </c>
      <c r="O13" s="48" t="s">
        <v>277</v>
      </c>
      <c r="P13" s="6" t="s">
        <v>278</v>
      </c>
      <c r="Q13" s="44"/>
      <c r="R13" t="s">
        <v>279</v>
      </c>
    </row>
    <row r="14" spans="1:18" x14ac:dyDescent="0.25">
      <c r="A14" t="s">
        <v>280</v>
      </c>
      <c r="B14" s="5">
        <v>2.74</v>
      </c>
      <c r="C14" s="5">
        <v>1</v>
      </c>
      <c r="D14" s="5">
        <v>0.9</v>
      </c>
      <c r="E14" s="6">
        <v>0.5</v>
      </c>
      <c r="F14" s="6">
        <v>0.1</v>
      </c>
      <c r="G14" s="179">
        <v>0.3</v>
      </c>
      <c r="H14" s="179">
        <v>0.5</v>
      </c>
      <c r="I14" s="6">
        <v>0.95</v>
      </c>
      <c r="J14" s="5"/>
      <c r="O14" s="48" t="s">
        <v>281</v>
      </c>
      <c r="P14" s="6" t="s">
        <v>278</v>
      </c>
      <c r="Q14" s="44"/>
    </row>
    <row r="15" spans="1:18" x14ac:dyDescent="0.25">
      <c r="A15" t="s">
        <v>282</v>
      </c>
      <c r="B15" s="178">
        <v>2.5</v>
      </c>
      <c r="C15" s="5">
        <v>1</v>
      </c>
      <c r="D15" s="5">
        <v>0.9</v>
      </c>
      <c r="E15" s="6">
        <v>0.5</v>
      </c>
      <c r="F15" s="6">
        <v>0.1</v>
      </c>
      <c r="G15" s="179">
        <v>0.3</v>
      </c>
      <c r="H15" s="179">
        <v>0.5</v>
      </c>
      <c r="I15" s="6">
        <v>0.95</v>
      </c>
      <c r="J15" s="5"/>
      <c r="O15" s="48" t="s">
        <v>283</v>
      </c>
      <c r="P15" s="6" t="s">
        <v>284</v>
      </c>
      <c r="Q15" s="44"/>
    </row>
    <row r="16" spans="1:18" x14ac:dyDescent="0.25">
      <c r="A16" t="s">
        <v>285</v>
      </c>
      <c r="B16" s="5">
        <v>2.5499999999999998</v>
      </c>
      <c r="C16" s="5">
        <v>1</v>
      </c>
      <c r="D16" s="5">
        <v>0.9</v>
      </c>
      <c r="E16" s="6">
        <v>0.5</v>
      </c>
      <c r="F16" s="6">
        <v>0.1</v>
      </c>
      <c r="G16" s="179">
        <v>0.3</v>
      </c>
      <c r="H16" s="179">
        <v>0.5</v>
      </c>
      <c r="I16" s="6">
        <v>0.95</v>
      </c>
      <c r="J16" s="5"/>
      <c r="Q16" s="44"/>
    </row>
    <row r="17" spans="1:17" x14ac:dyDescent="0.25">
      <c r="A17" t="s">
        <v>286</v>
      </c>
      <c r="B17" s="5">
        <v>2.4700000000000002</v>
      </c>
      <c r="C17" s="5">
        <v>1</v>
      </c>
      <c r="D17" s="5">
        <v>0.9</v>
      </c>
      <c r="E17" s="6">
        <v>0.5</v>
      </c>
      <c r="F17" s="6">
        <v>0.1</v>
      </c>
      <c r="G17" s="179">
        <v>0.3</v>
      </c>
      <c r="H17" s="179">
        <v>0.5</v>
      </c>
      <c r="I17" s="6">
        <v>0.95</v>
      </c>
      <c r="J17" s="5"/>
      <c r="O17" s="185" t="s">
        <v>287</v>
      </c>
      <c r="Q17" s="44"/>
    </row>
    <row r="18" spans="1:17" x14ac:dyDescent="0.25">
      <c r="A18" t="s">
        <v>288</v>
      </c>
      <c r="B18" s="5">
        <v>2.62</v>
      </c>
      <c r="C18" s="5">
        <v>1</v>
      </c>
      <c r="D18" s="5">
        <v>0.9</v>
      </c>
      <c r="E18" s="6">
        <v>0.5</v>
      </c>
      <c r="F18" s="6">
        <v>0.1</v>
      </c>
      <c r="G18" s="179">
        <v>0.3</v>
      </c>
      <c r="H18" s="179">
        <v>0.5</v>
      </c>
      <c r="I18" s="6">
        <v>0.95</v>
      </c>
      <c r="J18" s="5"/>
      <c r="O18" s="46" t="s">
        <v>257</v>
      </c>
      <c r="P18" s="46" t="s">
        <v>258</v>
      </c>
      <c r="Q18" s="44"/>
    </row>
    <row r="19" spans="1:17" x14ac:dyDescent="0.25">
      <c r="A19" t="s">
        <v>289</v>
      </c>
      <c r="B19" s="5">
        <v>2.35</v>
      </c>
      <c r="C19" s="5">
        <v>1</v>
      </c>
      <c r="D19" s="5">
        <v>0.9</v>
      </c>
      <c r="E19" s="6">
        <v>0.5</v>
      </c>
      <c r="F19" s="6">
        <v>0.1</v>
      </c>
      <c r="G19" s="179">
        <v>0.3</v>
      </c>
      <c r="H19" s="179">
        <v>0.5</v>
      </c>
      <c r="I19" s="6">
        <v>0.95</v>
      </c>
      <c r="J19" s="5"/>
      <c r="O19" s="48" t="s">
        <v>260</v>
      </c>
      <c r="P19" s="6">
        <v>4.9000000000000002E-2</v>
      </c>
      <c r="Q19" s="44"/>
    </row>
    <row r="20" spans="1:17" x14ac:dyDescent="0.25">
      <c r="A20" t="s">
        <v>290</v>
      </c>
      <c r="B20" s="178">
        <v>2.4300000000000002</v>
      </c>
      <c r="C20" s="5">
        <v>1</v>
      </c>
      <c r="D20" s="5">
        <v>0.9</v>
      </c>
      <c r="E20" s="6">
        <v>0.4</v>
      </c>
      <c r="F20" s="6">
        <v>0.1</v>
      </c>
      <c r="G20" s="179">
        <v>0.3</v>
      </c>
      <c r="H20" s="179">
        <v>0.5</v>
      </c>
      <c r="I20" s="6">
        <v>0.95</v>
      </c>
      <c r="J20" s="5" t="s">
        <v>291</v>
      </c>
      <c r="O20" s="48" t="s">
        <v>262</v>
      </c>
      <c r="P20" s="6">
        <v>0.16400000000000001</v>
      </c>
      <c r="Q20" s="44"/>
    </row>
    <row r="21" spans="1:17" x14ac:dyDescent="0.25">
      <c r="A21" t="s">
        <v>292</v>
      </c>
      <c r="B21" s="5">
        <v>2.5299999999999998</v>
      </c>
      <c r="C21" s="5">
        <v>1</v>
      </c>
      <c r="D21" s="5">
        <v>0.9</v>
      </c>
      <c r="E21" s="6">
        <v>0.5</v>
      </c>
      <c r="F21" s="6">
        <v>0.1</v>
      </c>
      <c r="G21" s="179">
        <v>0.3</v>
      </c>
      <c r="H21" s="179">
        <v>0.5</v>
      </c>
      <c r="I21" s="6">
        <v>0.95</v>
      </c>
      <c r="J21" s="5" t="s">
        <v>253</v>
      </c>
      <c r="O21" s="48" t="s">
        <v>268</v>
      </c>
      <c r="P21" s="6">
        <v>0.75</v>
      </c>
    </row>
    <row r="22" spans="1:17" x14ac:dyDescent="0.25">
      <c r="A22" t="s">
        <v>293</v>
      </c>
      <c r="B22" s="5">
        <v>2.71</v>
      </c>
      <c r="C22" s="5">
        <v>1</v>
      </c>
      <c r="D22" s="5">
        <v>0.9</v>
      </c>
      <c r="E22" s="6">
        <v>0.5</v>
      </c>
      <c r="F22" s="6">
        <v>0.1</v>
      </c>
      <c r="G22" s="179">
        <v>0.3</v>
      </c>
      <c r="H22" s="179">
        <v>0.5</v>
      </c>
      <c r="I22" s="6">
        <v>0.95</v>
      </c>
      <c r="J22" s="5"/>
      <c r="O22" s="48"/>
      <c r="P22" s="6"/>
    </row>
    <row r="23" spans="1:17" x14ac:dyDescent="0.25">
      <c r="A23" t="s">
        <v>294</v>
      </c>
      <c r="B23" s="5">
        <v>2.5499999999999998</v>
      </c>
      <c r="C23" s="5">
        <v>1</v>
      </c>
      <c r="D23" s="5">
        <v>0.9</v>
      </c>
      <c r="E23" s="6">
        <v>0.5</v>
      </c>
      <c r="F23" s="6">
        <v>0.1</v>
      </c>
      <c r="G23" s="179">
        <v>0.3</v>
      </c>
      <c r="H23" s="179">
        <v>0.5</v>
      </c>
      <c r="I23" s="6">
        <v>0.95</v>
      </c>
      <c r="J23" s="5"/>
    </row>
    <row r="24" spans="1:17" x14ac:dyDescent="0.25">
      <c r="A24" t="s">
        <v>295</v>
      </c>
      <c r="B24" s="178">
        <v>2.6</v>
      </c>
      <c r="C24" s="5">
        <v>1</v>
      </c>
      <c r="D24" s="5">
        <v>0.9</v>
      </c>
      <c r="E24" s="6">
        <v>0.5</v>
      </c>
      <c r="F24" s="6">
        <v>0.1</v>
      </c>
      <c r="G24" s="179">
        <v>0.3</v>
      </c>
      <c r="H24" s="179">
        <v>0.5</v>
      </c>
      <c r="I24" s="6">
        <v>0.95</v>
      </c>
      <c r="J24" s="5"/>
    </row>
    <row r="25" spans="1:17" x14ac:dyDescent="0.25">
      <c r="A25" t="s">
        <v>296</v>
      </c>
      <c r="B25" s="5">
        <v>3.22</v>
      </c>
      <c r="C25" s="5">
        <v>1</v>
      </c>
      <c r="D25" s="5">
        <v>0.9</v>
      </c>
      <c r="E25" s="6">
        <v>0.5</v>
      </c>
      <c r="F25" s="6">
        <v>0.1</v>
      </c>
      <c r="G25" s="179">
        <v>0.3</v>
      </c>
      <c r="H25" s="179">
        <v>0.5</v>
      </c>
      <c r="I25" s="6">
        <v>0.95</v>
      </c>
      <c r="J25" s="5"/>
    </row>
    <row r="26" spans="1:17" x14ac:dyDescent="0.25">
      <c r="A26" t="s">
        <v>297</v>
      </c>
      <c r="B26" s="5">
        <v>3.17</v>
      </c>
      <c r="C26" s="5">
        <v>1</v>
      </c>
      <c r="D26" s="5">
        <v>0.9</v>
      </c>
      <c r="E26" s="6">
        <v>0.5</v>
      </c>
      <c r="F26" s="6">
        <v>0.1</v>
      </c>
      <c r="G26" s="179">
        <v>0.3</v>
      </c>
      <c r="H26" s="179">
        <v>0.5</v>
      </c>
      <c r="I26" s="6">
        <v>0.95</v>
      </c>
      <c r="J26" s="5"/>
    </row>
    <row r="27" spans="1:17" ht="28.5" customHeight="1" x14ac:dyDescent="0.25">
      <c r="A27" t="s">
        <v>298</v>
      </c>
      <c r="B27" s="178">
        <v>2.46</v>
      </c>
      <c r="C27" s="5">
        <v>1</v>
      </c>
      <c r="D27" s="5">
        <v>0.9</v>
      </c>
      <c r="E27" s="6">
        <v>0.5</v>
      </c>
      <c r="F27" s="6">
        <v>0.1</v>
      </c>
      <c r="G27" s="179">
        <v>0.3</v>
      </c>
      <c r="H27" s="179">
        <v>0.5</v>
      </c>
      <c r="I27" s="6">
        <v>0.95</v>
      </c>
      <c r="J27" s="5" t="s">
        <v>299</v>
      </c>
      <c r="O27" s="77" t="s">
        <v>300</v>
      </c>
      <c r="P27" s="46" t="s">
        <v>301</v>
      </c>
    </row>
    <row r="28" spans="1:17" x14ac:dyDescent="0.25">
      <c r="A28" t="s">
        <v>302</v>
      </c>
      <c r="B28" s="5">
        <v>2.44</v>
      </c>
      <c r="C28" s="5">
        <v>1</v>
      </c>
      <c r="D28" s="5">
        <v>0.9</v>
      </c>
      <c r="E28" s="6">
        <v>0.5</v>
      </c>
      <c r="F28" s="6">
        <v>0.1</v>
      </c>
      <c r="G28" s="179">
        <v>0.3</v>
      </c>
      <c r="H28" s="179">
        <v>0.5</v>
      </c>
      <c r="I28" s="6">
        <v>0.95</v>
      </c>
      <c r="J28" s="5"/>
      <c r="O28" s="48" t="s">
        <v>303</v>
      </c>
      <c r="P28" s="6">
        <v>0.7</v>
      </c>
    </row>
    <row r="29" spans="1:17" x14ac:dyDescent="0.25">
      <c r="A29" t="s">
        <v>304</v>
      </c>
      <c r="B29" s="5">
        <v>2.63</v>
      </c>
      <c r="C29" s="5">
        <v>1</v>
      </c>
      <c r="D29" s="5">
        <v>0.9</v>
      </c>
      <c r="E29" s="6">
        <v>0.5</v>
      </c>
      <c r="F29" s="6">
        <v>0.1</v>
      </c>
      <c r="G29" s="179">
        <v>0.3</v>
      </c>
      <c r="H29" s="179">
        <v>0.5</v>
      </c>
      <c r="I29" s="6">
        <v>0.95</v>
      </c>
      <c r="J29" s="5"/>
      <c r="O29" s="48" t="s">
        <v>305</v>
      </c>
      <c r="P29" s="6">
        <v>0.49</v>
      </c>
    </row>
    <row r="30" spans="1:17" x14ac:dyDescent="0.25">
      <c r="A30" t="s">
        <v>306</v>
      </c>
      <c r="B30" s="5">
        <v>2.5099999999999998</v>
      </c>
      <c r="C30" s="5">
        <v>1</v>
      </c>
      <c r="D30" s="5">
        <v>0.9</v>
      </c>
      <c r="E30" s="6">
        <v>0.5</v>
      </c>
      <c r="F30" s="6">
        <v>0.1</v>
      </c>
      <c r="G30" s="179">
        <v>0.3</v>
      </c>
      <c r="H30" s="179">
        <v>0.5</v>
      </c>
      <c r="I30" s="6">
        <v>0.95</v>
      </c>
      <c r="J30" s="5"/>
      <c r="O30" s="48" t="s">
        <v>307</v>
      </c>
      <c r="P30" s="6">
        <v>0.35</v>
      </c>
    </row>
    <row r="31" spans="1:17" x14ac:dyDescent="0.25">
      <c r="A31" t="s">
        <v>308</v>
      </c>
      <c r="B31" s="5">
        <v>2.6</v>
      </c>
      <c r="C31" s="5">
        <v>1</v>
      </c>
      <c r="D31" s="5">
        <v>0.9</v>
      </c>
      <c r="E31" s="6">
        <v>0.5</v>
      </c>
      <c r="F31" s="6">
        <v>0.1</v>
      </c>
      <c r="G31" s="179">
        <v>0.3</v>
      </c>
      <c r="H31" s="179">
        <v>0.5</v>
      </c>
      <c r="I31" s="6">
        <v>0.95</v>
      </c>
      <c r="J31" s="5"/>
      <c r="O31" s="48" t="s">
        <v>309</v>
      </c>
      <c r="P31" s="6">
        <v>0.35</v>
      </c>
    </row>
    <row r="32" spans="1:17" x14ac:dyDescent="0.25">
      <c r="A32" t="s">
        <v>310</v>
      </c>
      <c r="B32" s="178">
        <v>2.27</v>
      </c>
      <c r="C32" s="5">
        <v>1</v>
      </c>
      <c r="D32" s="5">
        <v>0.9</v>
      </c>
      <c r="E32" s="6">
        <v>0.5</v>
      </c>
      <c r="F32" s="6">
        <v>0.1</v>
      </c>
      <c r="G32" s="179">
        <v>0.3</v>
      </c>
      <c r="H32" s="179">
        <v>0.5</v>
      </c>
      <c r="I32" s="6">
        <v>0.95</v>
      </c>
      <c r="J32" s="5" t="s">
        <v>37</v>
      </c>
      <c r="O32" s="48" t="s">
        <v>311</v>
      </c>
      <c r="P32" s="6">
        <v>0.35</v>
      </c>
    </row>
    <row r="33" spans="1:16" x14ac:dyDescent="0.25">
      <c r="A33" t="s">
        <v>312</v>
      </c>
      <c r="B33" s="178">
        <v>2.21</v>
      </c>
      <c r="C33" s="5">
        <v>1</v>
      </c>
      <c r="D33" s="5">
        <v>0.9</v>
      </c>
      <c r="E33" s="6">
        <v>0.5</v>
      </c>
      <c r="F33" s="6">
        <v>0.1</v>
      </c>
      <c r="G33" s="179">
        <v>0.3</v>
      </c>
      <c r="H33" s="179">
        <v>0.5</v>
      </c>
      <c r="I33" s="6">
        <v>0.95</v>
      </c>
      <c r="J33" s="5" t="s">
        <v>313</v>
      </c>
      <c r="O33" s="48" t="s">
        <v>314</v>
      </c>
      <c r="P33" s="6">
        <v>7.0000000000000007E-2</v>
      </c>
    </row>
    <row r="34" spans="1:16" x14ac:dyDescent="0.25">
      <c r="A34" t="s">
        <v>315</v>
      </c>
      <c r="B34" s="178">
        <v>2.8</v>
      </c>
      <c r="C34" s="5">
        <v>1</v>
      </c>
      <c r="D34" s="5">
        <v>0.9</v>
      </c>
      <c r="E34" s="6">
        <v>0.5</v>
      </c>
      <c r="F34" s="6">
        <v>0.1</v>
      </c>
      <c r="G34" s="179">
        <v>0.3</v>
      </c>
      <c r="H34" s="179">
        <v>0.5</v>
      </c>
      <c r="I34" s="6">
        <v>0.95</v>
      </c>
      <c r="J34" s="5"/>
    </row>
    <row r="35" spans="1:16" x14ac:dyDescent="0.25">
      <c r="A35" t="s">
        <v>316</v>
      </c>
      <c r="B35" s="178">
        <v>2.56</v>
      </c>
      <c r="C35" s="5">
        <v>1</v>
      </c>
      <c r="D35" s="5">
        <v>0.9</v>
      </c>
      <c r="E35" s="6">
        <v>0.5</v>
      </c>
      <c r="F35" s="6">
        <v>0.1</v>
      </c>
      <c r="G35" s="179">
        <v>0.3</v>
      </c>
      <c r="H35" s="179">
        <v>0.5</v>
      </c>
      <c r="I35" s="6">
        <v>0.95</v>
      </c>
      <c r="J35" s="5" t="s">
        <v>317</v>
      </c>
    </row>
    <row r="36" spans="1:16" x14ac:dyDescent="0.25">
      <c r="A36" t="s">
        <v>318</v>
      </c>
      <c r="B36" s="5">
        <v>2.61</v>
      </c>
      <c r="C36" s="5">
        <v>1</v>
      </c>
      <c r="D36" s="5">
        <v>0.9</v>
      </c>
      <c r="E36" s="6">
        <v>0.5</v>
      </c>
      <c r="F36" s="6">
        <v>0.1</v>
      </c>
      <c r="G36" s="179">
        <v>0.3</v>
      </c>
      <c r="H36" s="179">
        <v>0.5</v>
      </c>
      <c r="I36" s="6">
        <v>0.95</v>
      </c>
      <c r="J36" s="5"/>
    </row>
    <row r="37" spans="1:16" x14ac:dyDescent="0.25">
      <c r="A37" t="s">
        <v>319</v>
      </c>
      <c r="B37" s="178">
        <v>2.38</v>
      </c>
      <c r="C37" s="5">
        <v>1</v>
      </c>
      <c r="D37" s="5">
        <v>0.9</v>
      </c>
      <c r="E37" s="6">
        <v>0.4</v>
      </c>
      <c r="F37" s="6">
        <v>0.1</v>
      </c>
      <c r="G37" s="179">
        <v>0.3</v>
      </c>
      <c r="H37" s="179">
        <v>0.5</v>
      </c>
      <c r="I37" s="6">
        <v>0.95</v>
      </c>
      <c r="J37" s="5" t="s">
        <v>291</v>
      </c>
    </row>
    <row r="38" spans="1:16" x14ac:dyDescent="0.25">
      <c r="A38" t="s">
        <v>320</v>
      </c>
      <c r="B38" s="178">
        <v>2.39</v>
      </c>
      <c r="C38" s="5">
        <v>1</v>
      </c>
      <c r="D38" s="5">
        <v>0.9</v>
      </c>
      <c r="E38" s="6">
        <v>0.5</v>
      </c>
      <c r="F38" s="6">
        <v>0.1</v>
      </c>
      <c r="G38" s="179">
        <v>0.3</v>
      </c>
      <c r="H38" s="179">
        <v>0.5</v>
      </c>
      <c r="I38" s="6">
        <v>0.95</v>
      </c>
      <c r="J38" s="5" t="s">
        <v>321</v>
      </c>
    </row>
    <row r="39" spans="1:16" x14ac:dyDescent="0.25">
      <c r="A39" t="s">
        <v>322</v>
      </c>
      <c r="B39" s="5">
        <v>2.9</v>
      </c>
      <c r="C39" s="5">
        <v>1</v>
      </c>
      <c r="D39" s="5">
        <v>0.9</v>
      </c>
      <c r="E39" s="6">
        <v>0.5</v>
      </c>
      <c r="F39" s="6">
        <v>0.1</v>
      </c>
      <c r="G39" s="179">
        <v>0.3</v>
      </c>
      <c r="H39" s="179">
        <v>0.5</v>
      </c>
      <c r="I39" s="6">
        <v>0.95</v>
      </c>
      <c r="J39" s="5"/>
    </row>
    <row r="40" spans="1:16" x14ac:dyDescent="0.25">
      <c r="A40" t="s">
        <v>323</v>
      </c>
      <c r="B40" s="178">
        <v>2.38</v>
      </c>
      <c r="C40" s="5">
        <v>1</v>
      </c>
      <c r="D40" s="5">
        <v>0.9</v>
      </c>
      <c r="E40" s="6">
        <v>0.5</v>
      </c>
      <c r="F40" s="6">
        <v>0.1</v>
      </c>
      <c r="G40" s="179">
        <v>0.3</v>
      </c>
      <c r="H40" s="179">
        <v>0.5</v>
      </c>
      <c r="I40" s="6">
        <v>0.95</v>
      </c>
      <c r="J40" s="5" t="s">
        <v>88</v>
      </c>
    </row>
    <row r="41" spans="1:16" x14ac:dyDescent="0.25">
      <c r="A41" t="s">
        <v>324</v>
      </c>
      <c r="B41" s="5">
        <v>2.57</v>
      </c>
      <c r="C41" s="5">
        <v>1</v>
      </c>
      <c r="D41" s="5">
        <v>0.9</v>
      </c>
      <c r="E41" s="6">
        <v>0.5</v>
      </c>
      <c r="F41" s="6">
        <v>0.1</v>
      </c>
      <c r="G41" s="179">
        <v>0.3</v>
      </c>
      <c r="H41" s="179">
        <v>0.5</v>
      </c>
      <c r="I41" s="6">
        <v>0.95</v>
      </c>
      <c r="J41" s="5"/>
    </row>
    <row r="42" spans="1:16" x14ac:dyDescent="0.25">
      <c r="A42" t="s">
        <v>325</v>
      </c>
      <c r="B42" s="178">
        <v>2.4</v>
      </c>
      <c r="C42" s="5">
        <v>1</v>
      </c>
      <c r="D42" s="5">
        <v>0.9</v>
      </c>
      <c r="E42" s="6">
        <v>0.5</v>
      </c>
      <c r="F42" s="6">
        <v>0.1</v>
      </c>
      <c r="G42" s="179">
        <v>0.3</v>
      </c>
      <c r="H42" s="179">
        <v>0.5</v>
      </c>
      <c r="I42" s="6">
        <v>0.95</v>
      </c>
      <c r="J42" s="5" t="s">
        <v>321</v>
      </c>
    </row>
    <row r="43" spans="1:16" x14ac:dyDescent="0.25">
      <c r="A43" t="s">
        <v>326</v>
      </c>
      <c r="B43" s="5">
        <v>2.41</v>
      </c>
      <c r="C43" s="5">
        <v>1</v>
      </c>
      <c r="D43" s="5">
        <v>0.9</v>
      </c>
      <c r="E43" s="6">
        <v>0.5</v>
      </c>
      <c r="F43" s="6">
        <v>0.1</v>
      </c>
      <c r="G43" s="179">
        <v>0.3</v>
      </c>
      <c r="H43" s="179">
        <v>0.5</v>
      </c>
      <c r="I43" s="6">
        <v>0.95</v>
      </c>
      <c r="J43" s="5"/>
    </row>
    <row r="44" spans="1:16" x14ac:dyDescent="0.25">
      <c r="A44" t="s">
        <v>327</v>
      </c>
      <c r="B44" s="5">
        <v>2.39</v>
      </c>
      <c r="C44" s="5">
        <v>1</v>
      </c>
      <c r="D44" s="5">
        <v>0.9</v>
      </c>
      <c r="E44" s="6">
        <v>0.5</v>
      </c>
      <c r="F44" s="6">
        <v>0.1</v>
      </c>
      <c r="G44" s="179">
        <v>0.3</v>
      </c>
      <c r="H44" s="179">
        <v>0.5</v>
      </c>
      <c r="I44" s="6">
        <v>0.95</v>
      </c>
      <c r="J44" s="5"/>
    </row>
    <row r="45" spans="1:16" x14ac:dyDescent="0.25">
      <c r="A45" t="s">
        <v>328</v>
      </c>
      <c r="B45" s="5">
        <v>2.5499999999999998</v>
      </c>
      <c r="C45" s="5">
        <v>1</v>
      </c>
      <c r="D45" s="5">
        <v>0.9</v>
      </c>
      <c r="E45" s="6">
        <v>0.5</v>
      </c>
      <c r="F45" s="6">
        <v>0.1</v>
      </c>
      <c r="G45" s="179">
        <v>0.3</v>
      </c>
      <c r="H45" s="179">
        <v>0.5</v>
      </c>
      <c r="I45" s="6">
        <v>0.95</v>
      </c>
      <c r="J45" s="5"/>
    </row>
    <row r="46" spans="1:16" x14ac:dyDescent="0.25">
      <c r="A46" t="s">
        <v>329</v>
      </c>
      <c r="B46" s="5">
        <v>2.52</v>
      </c>
      <c r="C46" s="5">
        <v>1</v>
      </c>
      <c r="D46" s="5">
        <v>0.9</v>
      </c>
      <c r="E46" s="6">
        <v>0.5</v>
      </c>
      <c r="F46" s="6">
        <v>0.1</v>
      </c>
      <c r="G46" s="179">
        <v>0.3</v>
      </c>
      <c r="H46" s="179">
        <v>0.5</v>
      </c>
      <c r="I46" s="6">
        <v>0.95</v>
      </c>
      <c r="J46" s="5"/>
    </row>
    <row r="47" spans="1:16" x14ac:dyDescent="0.25">
      <c r="A47" t="s">
        <v>330</v>
      </c>
      <c r="B47" s="5">
        <v>2.73</v>
      </c>
      <c r="C47" s="5">
        <v>1</v>
      </c>
      <c r="D47" s="5">
        <v>0.9</v>
      </c>
      <c r="E47" s="6">
        <v>0.5</v>
      </c>
      <c r="F47" s="6">
        <v>0.1</v>
      </c>
      <c r="G47" s="179">
        <v>0.3</v>
      </c>
      <c r="H47" s="179">
        <v>0.5</v>
      </c>
      <c r="I47" s="6">
        <v>0.95</v>
      </c>
      <c r="J47" s="5"/>
    </row>
    <row r="48" spans="1:16" x14ac:dyDescent="0.25">
      <c r="A48" t="s">
        <v>331</v>
      </c>
      <c r="B48" s="178">
        <v>2.87</v>
      </c>
      <c r="C48" s="5">
        <v>1</v>
      </c>
      <c r="D48" s="5">
        <v>0.9</v>
      </c>
      <c r="E48" s="6">
        <v>0.5</v>
      </c>
      <c r="F48" s="6">
        <v>0.1</v>
      </c>
      <c r="G48" s="179">
        <v>0.3</v>
      </c>
      <c r="H48" s="179">
        <v>0.5</v>
      </c>
      <c r="I48" s="6">
        <v>0.95</v>
      </c>
      <c r="J48" s="5" t="s">
        <v>332</v>
      </c>
    </row>
    <row r="49" spans="1:18" x14ac:dyDescent="0.25">
      <c r="A49" t="s">
        <v>333</v>
      </c>
      <c r="B49" s="5">
        <v>3.4</v>
      </c>
      <c r="C49" s="5">
        <v>1</v>
      </c>
      <c r="D49" s="5">
        <v>0.9</v>
      </c>
      <c r="E49" s="6">
        <v>0.5</v>
      </c>
      <c r="F49" s="6">
        <v>0.1</v>
      </c>
      <c r="G49" s="179">
        <v>0.3</v>
      </c>
      <c r="H49" s="179">
        <v>0.5</v>
      </c>
      <c r="I49" s="6">
        <v>0.95</v>
      </c>
      <c r="J49" s="5"/>
    </row>
    <row r="50" spans="1:18" x14ac:dyDescent="0.25">
      <c r="A50" t="s">
        <v>334</v>
      </c>
      <c r="B50" s="5">
        <v>2.6</v>
      </c>
      <c r="C50" s="5">
        <v>1</v>
      </c>
      <c r="D50" s="5">
        <v>0.9</v>
      </c>
      <c r="E50" s="6">
        <v>0.5</v>
      </c>
      <c r="F50" s="6">
        <v>0.1</v>
      </c>
      <c r="G50" s="179">
        <v>0.3</v>
      </c>
      <c r="H50" s="179">
        <v>0.5</v>
      </c>
      <c r="I50" s="6">
        <v>0.95</v>
      </c>
      <c r="J50" s="5"/>
    </row>
    <row r="51" spans="1:18" x14ac:dyDescent="0.25">
      <c r="A51" t="s">
        <v>335</v>
      </c>
      <c r="B51" s="178">
        <v>2.54</v>
      </c>
      <c r="C51" s="5">
        <v>1</v>
      </c>
      <c r="D51" s="5">
        <v>0.9</v>
      </c>
      <c r="E51" s="6">
        <v>0.5</v>
      </c>
      <c r="F51" s="6">
        <v>0.1</v>
      </c>
      <c r="G51" s="179">
        <v>0.3</v>
      </c>
      <c r="H51" s="179">
        <v>0.5</v>
      </c>
      <c r="I51" s="6">
        <v>0.95</v>
      </c>
      <c r="J51" s="5" t="s">
        <v>96</v>
      </c>
    </row>
    <row r="52" spans="1:18" x14ac:dyDescent="0.25">
      <c r="A52" t="s">
        <v>336</v>
      </c>
      <c r="B52" s="5">
        <v>2.31</v>
      </c>
      <c r="C52" s="5">
        <v>1</v>
      </c>
      <c r="D52" s="5">
        <v>0.9</v>
      </c>
      <c r="E52" s="6">
        <v>0.5</v>
      </c>
      <c r="F52" s="6">
        <v>0.1</v>
      </c>
      <c r="G52" s="179">
        <v>0.3</v>
      </c>
      <c r="H52" s="179">
        <v>0.5</v>
      </c>
      <c r="I52" s="6">
        <v>0.95</v>
      </c>
      <c r="J52" s="5"/>
    </row>
    <row r="53" spans="1:18" x14ac:dyDescent="0.25">
      <c r="A53" t="s">
        <v>337</v>
      </c>
      <c r="B53" s="5">
        <v>2.84</v>
      </c>
      <c r="C53" s="5">
        <v>1</v>
      </c>
      <c r="D53" s="5">
        <v>0.9</v>
      </c>
      <c r="E53" s="6">
        <v>0.5</v>
      </c>
      <c r="F53" s="6">
        <v>0.1</v>
      </c>
      <c r="G53" s="179">
        <v>0.3</v>
      </c>
      <c r="H53" s="179">
        <v>0.5</v>
      </c>
      <c r="I53" s="6">
        <v>0.95</v>
      </c>
      <c r="J53" s="5"/>
      <c r="R53" t="s">
        <v>338</v>
      </c>
    </row>
    <row r="54" spans="1:18" x14ac:dyDescent="0.25">
      <c r="A54" t="s">
        <v>339</v>
      </c>
      <c r="B54" s="178">
        <v>2.4300000000000002</v>
      </c>
      <c r="C54" s="5">
        <v>1</v>
      </c>
      <c r="D54" s="5">
        <v>0.9</v>
      </c>
      <c r="E54" s="6">
        <v>0.5</v>
      </c>
      <c r="F54" s="6">
        <v>0.1</v>
      </c>
      <c r="G54" s="179">
        <v>0.3</v>
      </c>
      <c r="H54" s="179">
        <v>0.5</v>
      </c>
      <c r="I54" s="6">
        <v>0.95</v>
      </c>
      <c r="J54" s="5" t="s">
        <v>317</v>
      </c>
    </row>
    <row r="55" spans="1:18" x14ac:dyDescent="0.25">
      <c r="A55" t="s">
        <v>340</v>
      </c>
      <c r="B55" s="5">
        <v>2.68</v>
      </c>
      <c r="C55" s="5">
        <v>1</v>
      </c>
      <c r="D55" s="5">
        <v>0.9</v>
      </c>
      <c r="E55" s="6">
        <v>0.5</v>
      </c>
      <c r="F55" s="6">
        <v>0.1</v>
      </c>
      <c r="G55" s="179">
        <v>0.3</v>
      </c>
      <c r="H55" s="179">
        <v>0.5</v>
      </c>
      <c r="I55" s="6">
        <v>0.95</v>
      </c>
      <c r="J55" s="5"/>
    </row>
    <row r="56" spans="1:18" x14ac:dyDescent="0.25">
      <c r="A56" t="s">
        <v>341</v>
      </c>
      <c r="B56" s="5">
        <v>2.25</v>
      </c>
      <c r="C56" s="5">
        <v>1</v>
      </c>
      <c r="D56" s="5">
        <v>0.9</v>
      </c>
      <c r="E56" s="6">
        <v>0.5</v>
      </c>
      <c r="F56" s="6">
        <v>0.1</v>
      </c>
      <c r="G56" s="179">
        <v>0.3</v>
      </c>
      <c r="H56" s="179">
        <v>0.5</v>
      </c>
      <c r="I56" s="6">
        <v>0.95</v>
      </c>
      <c r="J56" s="5"/>
    </row>
    <row r="57" spans="1:18" x14ac:dyDescent="0.25">
      <c r="A57" t="s">
        <v>342</v>
      </c>
      <c r="B57" s="178">
        <v>2.6</v>
      </c>
      <c r="C57" s="5">
        <v>1</v>
      </c>
      <c r="D57" s="5">
        <v>0.9</v>
      </c>
      <c r="E57" s="6">
        <v>0.5</v>
      </c>
      <c r="F57" s="6">
        <v>0.1</v>
      </c>
      <c r="G57" s="179">
        <v>0.3</v>
      </c>
      <c r="H57" s="179">
        <v>0.5</v>
      </c>
      <c r="I57" s="6">
        <v>0.95</v>
      </c>
      <c r="J57" s="5" t="s">
        <v>332</v>
      </c>
    </row>
    <row r="58" spans="1:18" x14ac:dyDescent="0.25">
      <c r="A58" t="s">
        <v>343</v>
      </c>
      <c r="B58" s="5">
        <v>2.7</v>
      </c>
      <c r="C58" s="5">
        <v>1</v>
      </c>
      <c r="D58" s="5">
        <v>0.9</v>
      </c>
      <c r="E58" s="6">
        <v>0.5</v>
      </c>
      <c r="F58" s="6">
        <v>0.1</v>
      </c>
      <c r="G58" s="179">
        <v>0.3</v>
      </c>
      <c r="H58" s="179">
        <v>0.5</v>
      </c>
      <c r="I58" s="6">
        <v>0.95</v>
      </c>
      <c r="J58" s="5"/>
    </row>
    <row r="59" spans="1:18" x14ac:dyDescent="0.25">
      <c r="A59" t="s">
        <v>344</v>
      </c>
      <c r="B59" s="5">
        <v>2.68</v>
      </c>
      <c r="C59" s="5">
        <v>1</v>
      </c>
      <c r="D59" s="5">
        <v>0.9</v>
      </c>
      <c r="E59" s="6">
        <v>0.5</v>
      </c>
      <c r="F59" s="6">
        <v>0.1</v>
      </c>
      <c r="G59" s="179">
        <v>0.3</v>
      </c>
      <c r="H59" s="179">
        <v>0.5</v>
      </c>
      <c r="I59" s="6">
        <v>0.95</v>
      </c>
      <c r="J59" s="5"/>
    </row>
    <row r="60" spans="1:18" x14ac:dyDescent="0.25">
      <c r="A60" t="s">
        <v>345</v>
      </c>
      <c r="B60" s="178">
        <v>2.04</v>
      </c>
      <c r="C60" s="5">
        <v>1</v>
      </c>
      <c r="D60" s="5">
        <v>0.9</v>
      </c>
      <c r="E60" s="6">
        <v>0.5</v>
      </c>
      <c r="F60" s="6">
        <v>0.1</v>
      </c>
      <c r="G60" s="179">
        <v>0.3</v>
      </c>
      <c r="H60" s="179">
        <v>0.5</v>
      </c>
      <c r="I60" s="6">
        <v>0.95</v>
      </c>
      <c r="J60" s="5" t="s">
        <v>317</v>
      </c>
    </row>
    <row r="61" spans="1:18" x14ac:dyDescent="0.25">
      <c r="A61" t="s">
        <v>346</v>
      </c>
      <c r="B61" s="178">
        <v>2.82</v>
      </c>
      <c r="C61" s="5">
        <v>1</v>
      </c>
      <c r="D61" s="5">
        <v>0.9</v>
      </c>
      <c r="E61" s="6">
        <v>0.5</v>
      </c>
      <c r="F61" s="6">
        <v>0.1</v>
      </c>
      <c r="G61" s="179">
        <v>0.3</v>
      </c>
      <c r="H61" s="179">
        <v>0.5</v>
      </c>
      <c r="I61" s="6">
        <v>0.95</v>
      </c>
      <c r="J61" s="5" t="s">
        <v>253</v>
      </c>
    </row>
    <row r="62" spans="1:18" x14ac:dyDescent="0.25">
      <c r="A62" t="s">
        <v>347</v>
      </c>
      <c r="B62" s="178">
        <v>2.5099999999999998</v>
      </c>
      <c r="C62" s="5">
        <v>1</v>
      </c>
      <c r="D62" s="5">
        <v>0.9</v>
      </c>
      <c r="E62" s="6">
        <v>0.5</v>
      </c>
      <c r="F62" s="6">
        <v>0.1</v>
      </c>
      <c r="G62" s="179">
        <v>0.3</v>
      </c>
      <c r="H62" s="179">
        <v>0.5</v>
      </c>
      <c r="I62" s="6">
        <v>0.95</v>
      </c>
      <c r="J62" s="5"/>
    </row>
    <row r="63" spans="1:18" x14ac:dyDescent="0.25">
      <c r="A63" t="s">
        <v>348</v>
      </c>
      <c r="B63" s="178">
        <v>2.36</v>
      </c>
      <c r="C63" s="5">
        <v>1</v>
      </c>
      <c r="D63" s="5">
        <v>0.9</v>
      </c>
      <c r="E63" s="6">
        <v>0.5</v>
      </c>
      <c r="F63" s="6">
        <v>0.1</v>
      </c>
      <c r="G63" s="179">
        <v>0.3</v>
      </c>
      <c r="H63" s="179">
        <v>0.5</v>
      </c>
      <c r="I63" s="6">
        <v>0.95</v>
      </c>
      <c r="J63" s="5" t="s">
        <v>253</v>
      </c>
    </row>
    <row r="64" spans="1:18" x14ac:dyDescent="0.25">
      <c r="A64" t="s">
        <v>349</v>
      </c>
      <c r="B64" s="178">
        <v>2.4300000000000002</v>
      </c>
      <c r="C64" s="5">
        <v>1</v>
      </c>
      <c r="D64" s="5">
        <v>0.9</v>
      </c>
      <c r="E64" s="6">
        <v>0.5</v>
      </c>
      <c r="F64" s="6">
        <v>0.1</v>
      </c>
      <c r="G64" s="179">
        <v>0.3</v>
      </c>
      <c r="H64" s="179">
        <v>0.5</v>
      </c>
      <c r="I64" s="6">
        <v>0.95</v>
      </c>
      <c r="J64" s="5" t="s">
        <v>350</v>
      </c>
    </row>
    <row r="65" spans="1:23" x14ac:dyDescent="0.25">
      <c r="A65" t="s">
        <v>291</v>
      </c>
      <c r="B65" s="178">
        <v>2.59</v>
      </c>
      <c r="C65" s="5">
        <v>1</v>
      </c>
      <c r="D65" s="5">
        <v>0.9</v>
      </c>
      <c r="E65" s="6">
        <v>0.4</v>
      </c>
      <c r="F65" s="6">
        <v>0.1</v>
      </c>
      <c r="G65" s="179">
        <v>0.3</v>
      </c>
      <c r="H65" s="179">
        <v>0.5</v>
      </c>
      <c r="I65" s="6">
        <v>0.95</v>
      </c>
      <c r="J65" s="5" t="s">
        <v>291</v>
      </c>
    </row>
    <row r="66" spans="1:23" x14ac:dyDescent="0.25">
      <c r="A66" t="s">
        <v>351</v>
      </c>
      <c r="B66" s="5">
        <v>2.42</v>
      </c>
      <c r="C66" s="5">
        <v>1</v>
      </c>
      <c r="D66" s="5">
        <v>0.9</v>
      </c>
      <c r="E66" s="6">
        <v>0.5</v>
      </c>
      <c r="F66" s="6">
        <v>0.1</v>
      </c>
      <c r="G66" s="179">
        <v>0.3</v>
      </c>
      <c r="H66" s="179">
        <v>0.5</v>
      </c>
      <c r="I66" s="6">
        <v>0.95</v>
      </c>
      <c r="J66" s="5"/>
    </row>
    <row r="67" spans="1:23" x14ac:dyDescent="0.25">
      <c r="A67" t="s">
        <v>352</v>
      </c>
      <c r="B67" s="5">
        <v>2.57</v>
      </c>
      <c r="C67" s="5">
        <v>1</v>
      </c>
      <c r="D67" s="5">
        <v>0.9</v>
      </c>
      <c r="E67" s="6">
        <v>0.5</v>
      </c>
      <c r="F67" s="6">
        <v>0.1</v>
      </c>
      <c r="G67" s="179">
        <v>0.3</v>
      </c>
      <c r="H67" s="179">
        <v>0.5</v>
      </c>
      <c r="I67" s="6">
        <v>0.95</v>
      </c>
      <c r="J67" s="5"/>
    </row>
    <row r="76" spans="1:23" x14ac:dyDescent="0.25">
      <c r="A76" s="217" t="s">
        <v>353</v>
      </c>
      <c r="B76" s="217"/>
      <c r="C76" s="217"/>
      <c r="D76" s="217"/>
      <c r="E76" s="217"/>
      <c r="F76" s="217"/>
      <c r="G76" s="217"/>
      <c r="H76" s="217"/>
      <c r="I76" s="217"/>
      <c r="J76" s="217"/>
      <c r="K76" s="217"/>
      <c r="L76" s="217"/>
      <c r="M76" s="217"/>
      <c r="N76" s="217"/>
      <c r="O76" s="217"/>
      <c r="P76" s="217"/>
      <c r="Q76" s="217"/>
      <c r="R76" s="217"/>
      <c r="S76" s="217"/>
      <c r="T76" s="217"/>
      <c r="U76" s="217"/>
      <c r="V76" s="217"/>
      <c r="W76" s="217"/>
    </row>
    <row r="77" spans="1:23" x14ac:dyDescent="0.25">
      <c r="A77" s="217"/>
      <c r="B77" s="217"/>
      <c r="C77" s="217"/>
      <c r="D77" s="217"/>
      <c r="E77" s="217"/>
      <c r="F77" s="217"/>
      <c r="G77" s="217"/>
      <c r="H77" s="217"/>
      <c r="I77" s="217"/>
      <c r="J77" s="217"/>
      <c r="K77" s="217"/>
      <c r="L77" s="217"/>
      <c r="M77" s="217"/>
      <c r="N77" s="217"/>
      <c r="O77" s="217"/>
      <c r="P77" s="217"/>
      <c r="Q77" s="217"/>
      <c r="R77" s="217"/>
      <c r="S77" s="217"/>
      <c r="T77" s="217"/>
      <c r="U77" s="217"/>
      <c r="V77" s="217"/>
      <c r="W77" s="217"/>
    </row>
    <row r="78" spans="1:23" x14ac:dyDescent="0.25">
      <c r="A78" t="s">
        <v>354</v>
      </c>
    </row>
    <row r="79" spans="1:23" ht="15.75" thickBot="1" x14ac:dyDescent="0.3">
      <c r="A79" s="218" t="s">
        <v>355</v>
      </c>
      <c r="B79" s="15" t="s">
        <v>356</v>
      </c>
      <c r="C79" s="15"/>
      <c r="D79" s="15"/>
      <c r="E79" s="16"/>
      <c r="F79" s="16"/>
      <c r="G79" s="16"/>
      <c r="H79" s="16"/>
      <c r="I79" s="16"/>
      <c r="J79" s="16"/>
      <c r="K79" s="16"/>
      <c r="L79" s="17"/>
    </row>
    <row r="80" spans="1:23" ht="15.75" thickBot="1" x14ac:dyDescent="0.3">
      <c r="A80" s="219"/>
      <c r="B80" s="18" t="s">
        <v>357</v>
      </c>
      <c r="C80" s="35"/>
      <c r="D80" s="35"/>
      <c r="E80" s="220" t="s">
        <v>358</v>
      </c>
      <c r="F80" s="221"/>
      <c r="G80" s="221"/>
      <c r="H80" s="221"/>
      <c r="I80" s="221"/>
      <c r="J80" s="222"/>
      <c r="K80" s="19"/>
      <c r="L80" s="20"/>
    </row>
    <row r="81" spans="1:15" ht="24.75" thickBot="1" x14ac:dyDescent="0.3">
      <c r="A81" s="219"/>
      <c r="B81" s="21"/>
      <c r="C81" s="36"/>
      <c r="D81" s="36"/>
      <c r="E81" s="22" t="s">
        <v>359</v>
      </c>
      <c r="F81" s="38"/>
      <c r="G81" s="38"/>
      <c r="H81" s="38"/>
      <c r="I81" s="38"/>
      <c r="J81" s="23" t="s">
        <v>360</v>
      </c>
      <c r="K81" s="19"/>
      <c r="L81" s="24"/>
    </row>
    <row r="82" spans="1:15" ht="15.75" thickBot="1" x14ac:dyDescent="0.3">
      <c r="A82" s="219"/>
      <c r="B82" s="21" t="s">
        <v>361</v>
      </c>
      <c r="C82" s="36"/>
      <c r="D82" s="36"/>
      <c r="E82" s="25">
        <v>0.6</v>
      </c>
      <c r="F82" s="39"/>
      <c r="G82" s="39"/>
      <c r="H82" s="39"/>
      <c r="I82" s="39"/>
      <c r="J82" s="26">
        <v>5</v>
      </c>
      <c r="K82" s="19"/>
      <c r="L82" s="20"/>
    </row>
    <row r="83" spans="1:15" ht="15.75" thickBot="1" x14ac:dyDescent="0.3">
      <c r="A83" s="219"/>
      <c r="B83" s="21" t="s">
        <v>362</v>
      </c>
      <c r="C83" s="36"/>
      <c r="D83" s="36"/>
      <c r="E83" s="25">
        <v>8.6999999999999993</v>
      </c>
      <c r="F83" s="39"/>
      <c r="G83" s="39"/>
      <c r="H83" s="39"/>
      <c r="I83" s="39"/>
      <c r="J83" s="26">
        <v>78</v>
      </c>
      <c r="K83" s="19"/>
      <c r="L83" s="20"/>
    </row>
    <row r="84" spans="1:15" ht="24.75" thickBot="1" x14ac:dyDescent="0.3">
      <c r="A84" s="219"/>
      <c r="B84" s="21" t="s">
        <v>363</v>
      </c>
      <c r="C84" s="36"/>
      <c r="D84" s="36"/>
      <c r="E84" s="25">
        <v>1.9</v>
      </c>
      <c r="F84" s="39"/>
      <c r="G84" s="39"/>
      <c r="H84" s="39"/>
      <c r="I84" s="39"/>
      <c r="J84" s="26">
        <v>17</v>
      </c>
      <c r="K84" s="19"/>
      <c r="L84" s="20"/>
    </row>
    <row r="85" spans="1:15" ht="15.75" thickBot="1" x14ac:dyDescent="0.3">
      <c r="A85" s="219"/>
      <c r="B85" s="27" t="s">
        <v>364</v>
      </c>
      <c r="C85" s="37"/>
      <c r="D85" s="37"/>
      <c r="E85" s="28">
        <v>11.2</v>
      </c>
      <c r="F85" s="40"/>
      <c r="G85" s="40"/>
      <c r="H85" s="40"/>
      <c r="I85" s="40"/>
      <c r="J85" s="29">
        <v>100</v>
      </c>
      <c r="K85" s="19"/>
      <c r="L85" s="20"/>
    </row>
    <row r="86" spans="1:15" x14ac:dyDescent="0.25">
      <c r="A86" t="s">
        <v>365</v>
      </c>
    </row>
    <row r="87" spans="1:15" x14ac:dyDescent="0.25">
      <c r="H87">
        <f>E83+E84</f>
        <v>10.6</v>
      </c>
    </row>
    <row r="88" spans="1:15" ht="25.5" x14ac:dyDescent="0.25">
      <c r="N88" s="30" t="s">
        <v>366</v>
      </c>
      <c r="O88" s="31" t="s">
        <v>367</v>
      </c>
    </row>
    <row r="89" spans="1:15" ht="102" x14ac:dyDescent="0.25">
      <c r="N89" s="30" t="s">
        <v>368</v>
      </c>
      <c r="O89" s="31">
        <v>15</v>
      </c>
    </row>
    <row r="90" spans="1:15" x14ac:dyDescent="0.25">
      <c r="N90" t="s">
        <v>369</v>
      </c>
    </row>
    <row r="105" spans="14:14" x14ac:dyDescent="0.25">
      <c r="N105" t="s">
        <v>370</v>
      </c>
    </row>
  </sheetData>
  <sheetProtection selectLockedCells="1" selectUnlockedCells="1"/>
  <autoFilter ref="A1:J67" xr:uid="{C2CFE9A2-3D12-4B20-873C-1F9E1BC2537D}"/>
  <mergeCells count="3">
    <mergeCell ref="A76:W77"/>
    <mergeCell ref="A79:A85"/>
    <mergeCell ref="E80:J80"/>
  </mergeCells>
  <pageMargins left="0.7" right="0.7" top="0.75" bottom="0.75" header="0.3" footer="0.3"/>
  <pageSetup orientation="portrait" r:id="rId1"/>
  <customProperties>
    <customPr name="LastActive"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17" ma:contentTypeDescription="Create a new document." ma:contentTypeScope="" ma:versionID="4f41c019b895281b836d341e6fff1af3">
  <xsd:schema xmlns:xsd="http://www.w3.org/2001/XMLSchema" xmlns:xs="http://www.w3.org/2001/XMLSchema" xmlns:p="http://schemas.microsoft.com/office/2006/metadata/properties" xmlns:ns2="e8f18764-95a0-43ac-809f-d7a2d88dc902" xmlns:ns3="8f86abcd-8b29-470d-a083-263790f8059b" targetNamespace="http://schemas.microsoft.com/office/2006/metadata/properties" ma:root="true" ma:fieldsID="ec1f9029bb591945e5deda3aed0c86cb" ns2:_="" ns3:_="">
    <xsd:import namespace="e8f18764-95a0-43ac-809f-d7a2d88dc902"/>
    <xsd:import namespace="8f86abcd-8b29-470d-a083-263790f805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6abcd-8b29-470d-a083-263790f805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0f8f20f-f079-40a3-b2ad-fc8fa7942f85}" ma:internalName="TaxCatchAll" ma:showField="CatchAllData" ma:web="8f86abcd-8b29-470d-a083-263790f8059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f18764-95a0-43ac-809f-d7a2d88dc902">
      <Terms xmlns="http://schemas.microsoft.com/office/infopath/2007/PartnerControls"/>
    </lcf76f155ced4ddcb4097134ff3c332f>
    <TaxCatchAll xmlns="8f86abcd-8b29-470d-a083-263790f8059b" xsi:nil="true"/>
  </documentManagement>
</p:properties>
</file>

<file path=customXml/itemProps1.xml><?xml version="1.0" encoding="utf-8"?>
<ds:datastoreItem xmlns:ds="http://schemas.openxmlformats.org/officeDocument/2006/customXml" ds:itemID="{577A5874-37DB-42ED-86CD-AE7761231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18764-95a0-43ac-809f-d7a2d88dc902"/>
    <ds:schemaRef ds:uri="8f86abcd-8b29-470d-a083-263790f805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883CA1-3EB4-496A-8B2C-396915C8A5DB}">
  <ds:schemaRefs>
    <ds:schemaRef ds:uri="http://schemas.microsoft.com/sharepoint/v3/contenttype/forms"/>
  </ds:schemaRefs>
</ds:datastoreItem>
</file>

<file path=customXml/itemProps3.xml><?xml version="1.0" encoding="utf-8"?>
<ds:datastoreItem xmlns:ds="http://schemas.openxmlformats.org/officeDocument/2006/customXml" ds:itemID="{833CAA10-71CF-453A-BE33-65AEF48471AE}">
  <ds:schemaRefs>
    <ds:schemaRef ds:uri="http://purl.org/dc/elements/1.1/"/>
    <ds:schemaRef ds:uri="http://purl.org/dc/terms/"/>
    <ds:schemaRef ds:uri="http://schemas.openxmlformats.org/package/2006/metadata/core-properties"/>
    <ds:schemaRef ds:uri="http://schemas.microsoft.com/office/2006/metadata/properties"/>
    <ds:schemaRef ds:uri="http://purl.org/dc/dcmitype/"/>
    <ds:schemaRef ds:uri="8f86abcd-8b29-470d-a083-263790f8059b"/>
    <ds:schemaRef ds:uri="http://www.w3.org/XML/1998/namespace"/>
    <ds:schemaRef ds:uri="http://schemas.microsoft.com/office/2006/documentManagement/types"/>
    <ds:schemaRef ds:uri="http://schemas.microsoft.com/office/infopath/2007/PartnerControls"/>
    <ds:schemaRef ds:uri="e8f18764-95a0-43ac-809f-d7a2d88dc9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SPRINGS_Residential_2025</vt:lpstr>
      <vt:lpstr>SPRINGS_Residential_Other</vt:lpstr>
      <vt:lpstr>SPRINGS_OSTDS_Commecial_2025</vt:lpstr>
      <vt:lpstr>SPRINGS_Commecial_Other</vt:lpstr>
      <vt:lpstr>SJRWMD_DEP Modified</vt:lpstr>
      <vt:lpstr>TMDL Method</vt:lpstr>
      <vt:lpstr>ArcNLET</vt:lpstr>
      <vt:lpstr>ReferenceLists2025</vt:lpstr>
      <vt:lpstr>ReferenceLists</vt:lpstr>
      <vt:lpstr>OSTDS Flows by Facility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 Busby</dc:creator>
  <cp:keywords/>
  <dc:description/>
  <cp:lastModifiedBy>Menz, Sarah</cp:lastModifiedBy>
  <cp:revision/>
  <dcterms:created xsi:type="dcterms:W3CDTF">2021-03-01T18:55:20Z</dcterms:created>
  <dcterms:modified xsi:type="dcterms:W3CDTF">2026-07-22T19:03:53Z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y fmtid="{D5CDD505-2E9C-101B-9397-08002B2CF9AE}" pid="3" name="MediaServiceImageTags">
    <vt:lpwstr/>
  </property>
</Properties>
</file>